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defaultThemeVersion="166925"/>
  <mc:AlternateContent xmlns:mc="http://schemas.openxmlformats.org/markup-compatibility/2006">
    <mc:Choice Requires="x15">
      <x15ac:absPath xmlns:x15ac="http://schemas.microsoft.com/office/spreadsheetml/2010/11/ac" url="/Users/MiiMiiZer/Downloads/"/>
    </mc:Choice>
  </mc:AlternateContent>
  <xr:revisionPtr revIDLastSave="0" documentId="13_ncr:1_{624062FF-35F5-EE49-BC8E-43978C5C0228}" xr6:coauthVersionLast="47" xr6:coauthVersionMax="47" xr10:uidLastSave="{00000000-0000-0000-0000-000000000000}"/>
  <bookViews>
    <workbookView xWindow="0" yWindow="500" windowWidth="28800" windowHeight="16100" activeTab="7" xr2:uid="{ACD37863-FB09-9944-9621-7DF33B71EB46}"/>
  </bookViews>
  <sheets>
    <sheet name="Méthodologie" sheetId="13" r:id="rId1"/>
    <sheet name="Documents à récupérer" sheetId="3" r:id="rId2"/>
    <sheet name="fiche groupe" sheetId="14" r:id="rId3"/>
    <sheet name="Infos entités" sheetId="16" r:id="rId4"/>
    <sheet name="Infos gestion groupe" sheetId="19" r:id="rId5"/>
    <sheet name="Liens entre entités" sheetId="17" r:id="rId6"/>
    <sheet name="Impact TVA" sheetId="9" r:id="rId7"/>
    <sheet name="Impact TS" sheetId="11" r:id="rId8"/>
    <sheet name="Impact Global" sheetId="6" r:id="rId9"/>
    <sheet name="Base" sheetId="15" state="hidden" r:id="rId10"/>
  </sheets>
  <definedNames>
    <definedName name="_xlnm.Print_Area" localSheetId="1">'Documents à récupérer'!$A$1:$I$36</definedName>
    <definedName name="_xlnm.Print_Area" localSheetId="2">'fiche groupe'!$A$1:$I$74</definedName>
    <definedName name="_xlnm.Print_Area" localSheetId="8">'Impact Global'!$A$1:$I$36</definedName>
    <definedName name="_xlnm.Print_Area" localSheetId="7">'Impact TS'!$A$1:$K$228</definedName>
    <definedName name="_xlnm.Print_Area" localSheetId="6">'Impact TVA'!$A$1:$L$142</definedName>
    <definedName name="_xlnm.Print_Area" localSheetId="3">'Infos entités'!$A$1:$P$25</definedName>
    <definedName name="_xlnm.Print_Area" localSheetId="4">'Infos gestion groupe'!$A$1:$I$25</definedName>
    <definedName name="_xlnm.Print_Area" localSheetId="5">'Liens entre entités'!$A$1:$AI$23</definedName>
    <definedName name="_xlnm.Print_Area" localSheetId="0">Méthodologie!$A$1:$L$23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H152" i="11" l="1"/>
  <c r="G152" i="11"/>
  <c r="F152" i="11"/>
  <c r="D152" i="11"/>
  <c r="C152" i="11"/>
  <c r="H126" i="11"/>
  <c r="G126" i="11"/>
  <c r="F126" i="11"/>
  <c r="D126" i="11"/>
  <c r="C126" i="11"/>
  <c r="H100" i="11"/>
  <c r="G100" i="11"/>
  <c r="F100" i="11"/>
  <c r="D100" i="11"/>
  <c r="C100" i="11"/>
  <c r="H74" i="11"/>
  <c r="G74" i="11"/>
  <c r="F74" i="11"/>
  <c r="D74" i="11"/>
  <c r="C74" i="11"/>
  <c r="D151" i="11"/>
  <c r="D150" i="11"/>
  <c r="D149" i="11"/>
  <c r="D148" i="11"/>
  <c r="D147" i="11"/>
  <c r="D125" i="11"/>
  <c r="D124" i="11"/>
  <c r="D123" i="11"/>
  <c r="D122" i="11"/>
  <c r="D121" i="11"/>
  <c r="D99" i="11"/>
  <c r="F99" i="11" s="1"/>
  <c r="D98" i="11"/>
  <c r="F98" i="11" s="1"/>
  <c r="D97" i="11"/>
  <c r="F97" i="11" s="1"/>
  <c r="D96" i="11"/>
  <c r="F96" i="11" s="1"/>
  <c r="D95" i="11"/>
  <c r="F95" i="11" s="1"/>
  <c r="D73" i="11"/>
  <c r="D72" i="11"/>
  <c r="D71" i="11"/>
  <c r="D70" i="11"/>
  <c r="D69" i="11"/>
  <c r="C48" i="11"/>
  <c r="D47" i="11"/>
  <c r="D46" i="11"/>
  <c r="D45" i="11"/>
  <c r="D44" i="11"/>
  <c r="D43" i="11"/>
  <c r="D146" i="11"/>
  <c r="D145" i="11"/>
  <c r="D144" i="11"/>
  <c r="D143" i="11"/>
  <c r="D142" i="11"/>
  <c r="D120" i="11"/>
  <c r="D119" i="11"/>
  <c r="D118" i="11"/>
  <c r="D117" i="11"/>
  <c r="D116" i="11"/>
  <c r="D94" i="11"/>
  <c r="D93" i="11"/>
  <c r="D92" i="11"/>
  <c r="D91" i="11"/>
  <c r="D90" i="11"/>
  <c r="D68" i="11"/>
  <c r="D67" i="11"/>
  <c r="D66" i="11"/>
  <c r="D65" i="11"/>
  <c r="D64" i="11"/>
  <c r="D42" i="11"/>
  <c r="D41" i="11"/>
  <c r="D40" i="11"/>
  <c r="D39" i="11"/>
  <c r="D38" i="11"/>
  <c r="D141" i="11"/>
  <c r="F141" i="11" s="1"/>
  <c r="D140" i="11"/>
  <c r="F140" i="11" s="1"/>
  <c r="D139" i="11"/>
  <c r="F139" i="11" s="1"/>
  <c r="D138" i="11"/>
  <c r="F138" i="11" s="1"/>
  <c r="D137" i="11"/>
  <c r="F137" i="11" s="1"/>
  <c r="D115" i="11"/>
  <c r="D114" i="11"/>
  <c r="D113" i="11"/>
  <c r="D112" i="11"/>
  <c r="D111" i="11"/>
  <c r="D89" i="11"/>
  <c r="D88" i="11"/>
  <c r="F88" i="11" s="1"/>
  <c r="D87" i="11"/>
  <c r="F87" i="11" s="1"/>
  <c r="D86" i="11"/>
  <c r="F86" i="11" s="1"/>
  <c r="D85" i="11"/>
  <c r="F85" i="11" s="1"/>
  <c r="D84" i="11"/>
  <c r="F84" i="11" s="1"/>
  <c r="D63" i="11"/>
  <c r="D62" i="11"/>
  <c r="F62" i="11" s="1"/>
  <c r="D61" i="11"/>
  <c r="F61" i="11" s="1"/>
  <c r="D60" i="11"/>
  <c r="F60" i="11" s="1"/>
  <c r="D59" i="11"/>
  <c r="F59" i="11" s="1"/>
  <c r="D37" i="11"/>
  <c r="D36" i="11"/>
  <c r="D35" i="11"/>
  <c r="D34" i="11"/>
  <c r="D33" i="11"/>
  <c r="E67" i="9"/>
  <c r="F65" i="9"/>
  <c r="E66" i="9"/>
  <c r="E65" i="9"/>
  <c r="F110" i="9"/>
  <c r="F112" i="9" s="1"/>
  <c r="G94" i="9"/>
  <c r="G93" i="9"/>
  <c r="G92" i="9"/>
  <c r="G91" i="9"/>
  <c r="G4" i="16"/>
  <c r="G5" i="16"/>
  <c r="G6" i="16"/>
  <c r="G7" i="16"/>
  <c r="G8" i="16"/>
  <c r="G9" i="16"/>
  <c r="G10" i="16"/>
  <c r="G11" i="16"/>
  <c r="G12" i="16"/>
  <c r="G13" i="16"/>
  <c r="G14" i="16"/>
  <c r="G15" i="16"/>
  <c r="G16" i="16"/>
  <c r="G17" i="16"/>
  <c r="G18" i="16"/>
  <c r="G3" i="16"/>
  <c r="I5" i="17"/>
  <c r="I6" i="17"/>
  <c r="I7" i="17"/>
  <c r="I8" i="17"/>
  <c r="I9" i="17"/>
  <c r="I10" i="17"/>
  <c r="I11" i="17"/>
  <c r="I12" i="17"/>
  <c r="I13" i="17"/>
  <c r="I14" i="17"/>
  <c r="I15" i="17"/>
  <c r="I16" i="17"/>
  <c r="I17" i="17"/>
  <c r="I18" i="17"/>
  <c r="I4" i="17"/>
  <c r="C9" i="6"/>
  <c r="D9" i="6"/>
  <c r="E9" i="6"/>
  <c r="F9" i="6"/>
  <c r="G9" i="6"/>
  <c r="E12" i="6"/>
  <c r="F12" i="6"/>
  <c r="D178" i="11"/>
  <c r="E178" i="11"/>
  <c r="F178" i="11"/>
  <c r="G178" i="11"/>
  <c r="G179" i="11" s="1"/>
  <c r="G180" i="11" s="1"/>
  <c r="C178" i="11"/>
  <c r="E139" i="9"/>
  <c r="F147" i="11" l="1"/>
  <c r="F148" i="11"/>
  <c r="F149" i="11"/>
  <c r="F150" i="11"/>
  <c r="F151" i="11"/>
  <c r="F121" i="11"/>
  <c r="F122" i="11"/>
  <c r="F123" i="11"/>
  <c r="F124" i="11"/>
  <c r="F125" i="11"/>
  <c r="F69" i="11"/>
  <c r="F70" i="11"/>
  <c r="F71" i="11"/>
  <c r="F72" i="11"/>
  <c r="F73" i="11"/>
  <c r="F43" i="11"/>
  <c r="F44" i="11"/>
  <c r="F45" i="11"/>
  <c r="F46" i="11"/>
  <c r="F47" i="11"/>
  <c r="F142" i="11"/>
  <c r="F143" i="11"/>
  <c r="F144" i="11"/>
  <c r="F145" i="11"/>
  <c r="F146" i="11"/>
  <c r="F116" i="11"/>
  <c r="F117" i="11"/>
  <c r="F118" i="11"/>
  <c r="F119" i="11"/>
  <c r="F120" i="11"/>
  <c r="F90" i="11"/>
  <c r="F91" i="11"/>
  <c r="F92" i="11"/>
  <c r="F93" i="11"/>
  <c r="F94" i="11"/>
  <c r="F64" i="11"/>
  <c r="F65" i="11"/>
  <c r="F66" i="11"/>
  <c r="F67" i="11"/>
  <c r="F68" i="11"/>
  <c r="F38" i="11"/>
  <c r="F39" i="11"/>
  <c r="F40" i="11"/>
  <c r="F41" i="11"/>
  <c r="F42" i="11"/>
  <c r="F111" i="11"/>
  <c r="F112" i="11"/>
  <c r="F113" i="11"/>
  <c r="F114" i="11"/>
  <c r="F115" i="11"/>
  <c r="F89" i="11"/>
  <c r="F63" i="11"/>
  <c r="F33" i="11"/>
  <c r="F34" i="11"/>
  <c r="F35" i="11"/>
  <c r="F36" i="11"/>
  <c r="F37" i="11"/>
  <c r="H9" i="6"/>
  <c r="G182" i="11"/>
  <c r="J118" i="9" l="1"/>
  <c r="F118" i="9"/>
  <c r="G118" i="9"/>
  <c r="H118" i="9"/>
  <c r="I118" i="9"/>
  <c r="E118" i="9"/>
  <c r="J103" i="9" l="1"/>
  <c r="F85" i="9"/>
  <c r="Q4" i="17" l="1"/>
  <c r="M4" i="17"/>
  <c r="T4" i="17"/>
  <c r="M5" i="17"/>
  <c r="M6" i="17"/>
  <c r="M7" i="17"/>
  <c r="M8" i="17"/>
  <c r="M9" i="17"/>
  <c r="M10" i="17"/>
  <c r="M11" i="17"/>
  <c r="M12" i="17"/>
  <c r="M13" i="17"/>
  <c r="M14" i="17"/>
  <c r="M15" i="17"/>
  <c r="M16" i="17"/>
  <c r="M17" i="17"/>
  <c r="M18" i="17"/>
  <c r="H5" i="17"/>
  <c r="H6" i="17"/>
  <c r="H7" i="17"/>
  <c r="H8" i="17"/>
  <c r="H9" i="17"/>
  <c r="H10" i="17"/>
  <c r="H11" i="17"/>
  <c r="H12" i="17"/>
  <c r="H13" i="17"/>
  <c r="H14" i="17"/>
  <c r="H15" i="17"/>
  <c r="H16" i="17"/>
  <c r="H17" i="17"/>
  <c r="H18" i="17"/>
  <c r="H4" i="17"/>
  <c r="G5" i="17"/>
  <c r="G6" i="17"/>
  <c r="G7" i="17"/>
  <c r="G8" i="17"/>
  <c r="U8" i="17" s="1"/>
  <c r="G9" i="17"/>
  <c r="G10" i="17"/>
  <c r="G11" i="17"/>
  <c r="G12" i="17"/>
  <c r="U12" i="17" s="1"/>
  <c r="G13" i="17"/>
  <c r="G14" i="17"/>
  <c r="G15" i="17"/>
  <c r="G16" i="17"/>
  <c r="G17" i="17"/>
  <c r="G18" i="17"/>
  <c r="G4" i="17"/>
  <c r="D5" i="17"/>
  <c r="D6" i="17"/>
  <c r="D7" i="17"/>
  <c r="D8" i="17"/>
  <c r="D9" i="17"/>
  <c r="D10" i="17"/>
  <c r="D11" i="17"/>
  <c r="D12" i="17"/>
  <c r="D13" i="17"/>
  <c r="D14" i="17"/>
  <c r="D15" i="17"/>
  <c r="D16" i="17"/>
  <c r="D17" i="17"/>
  <c r="D18" i="17"/>
  <c r="D4" i="17"/>
  <c r="C5" i="17"/>
  <c r="C6" i="17"/>
  <c r="C7" i="17"/>
  <c r="C8" i="17"/>
  <c r="C9" i="17"/>
  <c r="C10" i="17"/>
  <c r="C11" i="17"/>
  <c r="C12" i="17"/>
  <c r="C13" i="17"/>
  <c r="C14" i="17"/>
  <c r="C15" i="17"/>
  <c r="C16" i="17"/>
  <c r="C17" i="17"/>
  <c r="C18" i="17"/>
  <c r="C4" i="17"/>
  <c r="E5" i="17"/>
  <c r="E6" i="17"/>
  <c r="E7" i="17"/>
  <c r="E8" i="17"/>
  <c r="E9" i="17"/>
  <c r="E10" i="17"/>
  <c r="E11" i="17"/>
  <c r="E12" i="17"/>
  <c r="E13" i="17"/>
  <c r="E14" i="17"/>
  <c r="E15" i="17"/>
  <c r="E16" i="17"/>
  <c r="E17" i="17"/>
  <c r="E18" i="17"/>
  <c r="E4" i="17"/>
  <c r="Q5" i="17"/>
  <c r="Q6" i="17"/>
  <c r="Q7" i="17"/>
  <c r="Q8" i="17"/>
  <c r="Q9" i="17"/>
  <c r="Q10" i="17"/>
  <c r="Q11" i="17"/>
  <c r="Q12" i="17"/>
  <c r="Q13" i="17"/>
  <c r="Q14" i="17"/>
  <c r="Q15" i="17"/>
  <c r="Q16" i="17"/>
  <c r="Q17" i="17"/>
  <c r="Q18" i="17"/>
  <c r="B10" i="16"/>
  <c r="B11" i="16"/>
  <c r="B12" i="16"/>
  <c r="B13" i="16"/>
  <c r="B14" i="16"/>
  <c r="B15" i="16"/>
  <c r="B16" i="16"/>
  <c r="B17" i="16"/>
  <c r="B18" i="16"/>
  <c r="B4" i="16"/>
  <c r="B5" i="16"/>
  <c r="B6" i="16"/>
  <c r="B7" i="16"/>
  <c r="B8" i="16"/>
  <c r="B9" i="16"/>
  <c r="B3" i="16"/>
  <c r="E93" i="9"/>
  <c r="B35" i="17" a="1"/>
  <c r="B35" i="17" s="1"/>
  <c r="B36" i="17" a="1"/>
  <c r="B36" i="17" s="1"/>
  <c r="B37" i="17" a="1"/>
  <c r="B37" i="17" s="1"/>
  <c r="B38" i="17" a="1"/>
  <c r="B38" i="17" s="1"/>
  <c r="B32" i="17" a="1"/>
  <c r="B32" i="17" s="1"/>
  <c r="B33" i="17" a="1"/>
  <c r="B33" i="17" s="1"/>
  <c r="B34" i="17" a="1"/>
  <c r="B34" i="17" s="1"/>
  <c r="B31" i="17" a="1"/>
  <c r="B31" i="17" s="1"/>
  <c r="G13" i="6"/>
  <c r="F13" i="6"/>
  <c r="E13" i="6"/>
  <c r="D13" i="6"/>
  <c r="C13" i="6"/>
  <c r="J25" i="9"/>
  <c r="J13" i="9"/>
  <c r="G37" i="9"/>
  <c r="G13" i="9"/>
  <c r="G25" i="9"/>
  <c r="F94" i="9"/>
  <c r="F92" i="9"/>
  <c r="F93" i="9"/>
  <c r="F91" i="9"/>
  <c r="E100" i="9"/>
  <c r="F100" i="9"/>
  <c r="E101" i="9"/>
  <c r="F101" i="9"/>
  <c r="E102" i="9"/>
  <c r="F102" i="9"/>
  <c r="F99" i="9"/>
  <c r="E99" i="9"/>
  <c r="H92" i="9"/>
  <c r="I92" i="9"/>
  <c r="H93" i="9"/>
  <c r="I93" i="9"/>
  <c r="H94" i="9"/>
  <c r="I94" i="9"/>
  <c r="I91" i="9"/>
  <c r="H91" i="9"/>
  <c r="E94" i="9"/>
  <c r="E92" i="9"/>
  <c r="E91" i="9"/>
  <c r="I86" i="9"/>
  <c r="I85" i="9"/>
  <c r="I84" i="9"/>
  <c r="I83" i="9"/>
  <c r="H86" i="9"/>
  <c r="J86" i="9" s="1"/>
  <c r="H85" i="9"/>
  <c r="H84" i="9"/>
  <c r="J84" i="9" s="1"/>
  <c r="H83" i="9"/>
  <c r="E84" i="9"/>
  <c r="E85" i="9"/>
  <c r="E86" i="9"/>
  <c r="E83" i="9"/>
  <c r="F86" i="9"/>
  <c r="F84" i="9"/>
  <c r="F83" i="9"/>
  <c r="H37" i="9"/>
  <c r="I37" i="9"/>
  <c r="I31" i="9"/>
  <c r="H31" i="9"/>
  <c r="H32" i="9"/>
  <c r="I32" i="9"/>
  <c r="H33" i="9"/>
  <c r="I33" i="9"/>
  <c r="G8" i="9"/>
  <c r="G9" i="9"/>
  <c r="G7" i="9"/>
  <c r="E110" i="9" s="1"/>
  <c r="G11" i="9"/>
  <c r="J7" i="9"/>
  <c r="J8" i="9"/>
  <c r="G19" i="9"/>
  <c r="G20" i="9"/>
  <c r="J19" i="9"/>
  <c r="J20" i="9"/>
  <c r="J11" i="9"/>
  <c r="G31" i="9"/>
  <c r="G32" i="9"/>
  <c r="J9" i="9"/>
  <c r="G21" i="9"/>
  <c r="J21" i="9"/>
  <c r="G33" i="9"/>
  <c r="H35" i="9"/>
  <c r="I35" i="9"/>
  <c r="H36" i="9"/>
  <c r="I36" i="9"/>
  <c r="H38" i="9"/>
  <c r="I38" i="9"/>
  <c r="G35" i="9"/>
  <c r="G36" i="9"/>
  <c r="G38" i="9"/>
  <c r="F39" i="9"/>
  <c r="E39" i="9"/>
  <c r="J23" i="9"/>
  <c r="J24" i="9"/>
  <c r="J26" i="9"/>
  <c r="I27" i="9"/>
  <c r="H27" i="9"/>
  <c r="G23" i="9"/>
  <c r="G24" i="9"/>
  <c r="G26" i="9"/>
  <c r="F27" i="9"/>
  <c r="E27" i="9"/>
  <c r="J12" i="9"/>
  <c r="J14" i="9"/>
  <c r="I15" i="9"/>
  <c r="H15" i="9"/>
  <c r="G12" i="9"/>
  <c r="G14" i="9"/>
  <c r="F15" i="9"/>
  <c r="E15" i="9"/>
  <c r="T5" i="17"/>
  <c r="T6" i="17"/>
  <c r="T7" i="17"/>
  <c r="T8" i="17"/>
  <c r="T9" i="17"/>
  <c r="T10" i="17"/>
  <c r="T11" i="17"/>
  <c r="T12" i="17"/>
  <c r="T13" i="17"/>
  <c r="T14" i="17"/>
  <c r="T15" i="17"/>
  <c r="T16" i="17"/>
  <c r="T17" i="17"/>
  <c r="T18" i="17"/>
  <c r="D28" i="11"/>
  <c r="D29" i="11"/>
  <c r="D30" i="11"/>
  <c r="F30" i="11" s="1"/>
  <c r="D31" i="11"/>
  <c r="F31" i="11" s="1"/>
  <c r="D32" i="11"/>
  <c r="F32" i="11" s="1"/>
  <c r="G16" i="11"/>
  <c r="H16" i="11"/>
  <c r="D80" i="11"/>
  <c r="D81" i="11"/>
  <c r="F81" i="11" s="1"/>
  <c r="D82" i="11"/>
  <c r="F82" i="11" s="1"/>
  <c r="D83" i="11"/>
  <c r="F83" i="11" s="1"/>
  <c r="D106" i="11"/>
  <c r="D107" i="11"/>
  <c r="F107" i="11" s="1"/>
  <c r="D108" i="11"/>
  <c r="F108" i="11" s="1"/>
  <c r="D109" i="11"/>
  <c r="F109" i="11" s="1"/>
  <c r="D110" i="11"/>
  <c r="F110" i="11" s="1"/>
  <c r="G107" i="11"/>
  <c r="I66" i="9"/>
  <c r="H66" i="9"/>
  <c r="G66" i="9"/>
  <c r="F66" i="9"/>
  <c r="D54" i="11"/>
  <c r="D55" i="11"/>
  <c r="G55" i="11" s="1"/>
  <c r="D56" i="11"/>
  <c r="D57" i="11"/>
  <c r="D58" i="11"/>
  <c r="G58" i="11" s="1"/>
  <c r="D132" i="11"/>
  <c r="D133" i="11"/>
  <c r="G133" i="11" s="1"/>
  <c r="D134" i="11"/>
  <c r="G134" i="11" s="1"/>
  <c r="D135" i="11"/>
  <c r="G135" i="11" s="1"/>
  <c r="D136" i="11"/>
  <c r="G136" i="11" s="1"/>
  <c r="B166" i="11"/>
  <c r="B165" i="11"/>
  <c r="B164" i="11"/>
  <c r="H31" i="6"/>
  <c r="H27" i="6"/>
  <c r="H28" i="6"/>
  <c r="H26" i="6"/>
  <c r="F34" i="9"/>
  <c r="E34" i="9"/>
  <c r="I22" i="9"/>
  <c r="H22" i="9"/>
  <c r="F22" i="9"/>
  <c r="E22" i="9"/>
  <c r="I10" i="9"/>
  <c r="H10" i="9"/>
  <c r="F10" i="9"/>
  <c r="E10" i="9"/>
  <c r="H148" i="11" l="1"/>
  <c r="H151" i="11"/>
  <c r="H149" i="11"/>
  <c r="H147" i="11"/>
  <c r="H150" i="11"/>
  <c r="G149" i="11"/>
  <c r="G150" i="11"/>
  <c r="G151" i="11"/>
  <c r="G147" i="11"/>
  <c r="G148" i="11"/>
  <c r="H122" i="11"/>
  <c r="H125" i="11"/>
  <c r="H123" i="11"/>
  <c r="H124" i="11"/>
  <c r="H121" i="11"/>
  <c r="G123" i="11"/>
  <c r="G121" i="11"/>
  <c r="G124" i="11"/>
  <c r="G125" i="11"/>
  <c r="G122" i="11"/>
  <c r="H96" i="11"/>
  <c r="H99" i="11"/>
  <c r="H98" i="11"/>
  <c r="H95" i="11"/>
  <c r="H97" i="11"/>
  <c r="G99" i="11"/>
  <c r="G98" i="11"/>
  <c r="G97" i="11"/>
  <c r="G95" i="11"/>
  <c r="G96" i="11"/>
  <c r="D48" i="11"/>
  <c r="H70" i="11"/>
  <c r="H73" i="11"/>
  <c r="H69" i="11"/>
  <c r="H71" i="11"/>
  <c r="H72" i="11"/>
  <c r="G71" i="11"/>
  <c r="G72" i="11"/>
  <c r="G70" i="11"/>
  <c r="G69" i="11"/>
  <c r="G73" i="11"/>
  <c r="H45" i="11"/>
  <c r="H44" i="11"/>
  <c r="H46" i="11"/>
  <c r="H43" i="11"/>
  <c r="H47" i="11"/>
  <c r="G43" i="11"/>
  <c r="G47" i="11"/>
  <c r="G44" i="11"/>
  <c r="G45" i="11"/>
  <c r="G46" i="11"/>
  <c r="H145" i="11"/>
  <c r="H146" i="11"/>
  <c r="H143" i="11"/>
  <c r="H144" i="11"/>
  <c r="H142" i="11"/>
  <c r="G144" i="11"/>
  <c r="G145" i="11"/>
  <c r="G142" i="11"/>
  <c r="G146" i="11"/>
  <c r="G143" i="11"/>
  <c r="H117" i="11"/>
  <c r="H120" i="11"/>
  <c r="H118" i="11"/>
  <c r="H119" i="11"/>
  <c r="H116" i="11"/>
  <c r="G118" i="11"/>
  <c r="G116" i="11"/>
  <c r="G119" i="11"/>
  <c r="G120" i="11"/>
  <c r="G117" i="11"/>
  <c r="H91" i="11"/>
  <c r="H94" i="11"/>
  <c r="H93" i="11"/>
  <c r="H90" i="11"/>
  <c r="H92" i="11"/>
  <c r="G92" i="11"/>
  <c r="G90" i="11"/>
  <c r="G91" i="11"/>
  <c r="G93" i="11"/>
  <c r="G94" i="11"/>
  <c r="H65" i="11"/>
  <c r="H68" i="11"/>
  <c r="H67" i="11"/>
  <c r="H66" i="11"/>
  <c r="H64" i="11"/>
  <c r="G66" i="11"/>
  <c r="G64" i="11"/>
  <c r="G65" i="11"/>
  <c r="G67" i="11"/>
  <c r="G68" i="11"/>
  <c r="H39" i="11"/>
  <c r="H42" i="11"/>
  <c r="H40" i="11"/>
  <c r="H41" i="11"/>
  <c r="H38" i="11"/>
  <c r="G40" i="11"/>
  <c r="G42" i="11"/>
  <c r="G41" i="11"/>
  <c r="G38" i="11"/>
  <c r="G39" i="11"/>
  <c r="G132" i="11"/>
  <c r="H137" i="11"/>
  <c r="H139" i="11"/>
  <c r="H141" i="11"/>
  <c r="H140" i="11"/>
  <c r="H138" i="11"/>
  <c r="G137" i="11"/>
  <c r="G139" i="11"/>
  <c r="G141" i="11"/>
  <c r="G140" i="11"/>
  <c r="G138" i="11"/>
  <c r="F106" i="11"/>
  <c r="H111" i="11"/>
  <c r="H115" i="11"/>
  <c r="H112" i="11"/>
  <c r="H113" i="11"/>
  <c r="H114" i="11"/>
  <c r="G113" i="11"/>
  <c r="G114" i="11"/>
  <c r="G111" i="11"/>
  <c r="G115" i="11"/>
  <c r="G112" i="11"/>
  <c r="F80" i="11"/>
  <c r="H89" i="11"/>
  <c r="H88" i="11"/>
  <c r="H87" i="11"/>
  <c r="H86" i="11"/>
  <c r="H85" i="11"/>
  <c r="H84" i="11"/>
  <c r="G88" i="11"/>
  <c r="G87" i="11"/>
  <c r="G86" i="11"/>
  <c r="G85" i="11"/>
  <c r="G84" i="11"/>
  <c r="G89" i="11"/>
  <c r="G54" i="11"/>
  <c r="F28" i="11"/>
  <c r="H63" i="11"/>
  <c r="H62" i="11"/>
  <c r="H61" i="11"/>
  <c r="H60" i="11"/>
  <c r="H59" i="11"/>
  <c r="G62" i="11"/>
  <c r="G63" i="11"/>
  <c r="G59" i="11"/>
  <c r="G60" i="11"/>
  <c r="G61" i="11"/>
  <c r="F29" i="11"/>
  <c r="H34" i="11"/>
  <c r="H37" i="11"/>
  <c r="H35" i="11"/>
  <c r="H36" i="11"/>
  <c r="H33" i="11"/>
  <c r="G35" i="11"/>
  <c r="G37" i="11"/>
  <c r="G34" i="11"/>
  <c r="G36" i="11"/>
  <c r="G33" i="11"/>
  <c r="C12" i="6"/>
  <c r="E112" i="9"/>
  <c r="U16" i="17"/>
  <c r="G81" i="11"/>
  <c r="G82" i="11"/>
  <c r="U18" i="17"/>
  <c r="U14" i="17"/>
  <c r="U10" i="17"/>
  <c r="U6" i="17"/>
  <c r="U17" i="17"/>
  <c r="U13" i="17"/>
  <c r="U9" i="17"/>
  <c r="U4" i="17"/>
  <c r="U15" i="17"/>
  <c r="U11" i="17"/>
  <c r="U5" i="17"/>
  <c r="U7" i="17"/>
  <c r="G56" i="11"/>
  <c r="F135" i="11"/>
  <c r="H28" i="11"/>
  <c r="F54" i="11"/>
  <c r="F134" i="11"/>
  <c r="H58" i="11"/>
  <c r="H109" i="11"/>
  <c r="G32" i="11"/>
  <c r="F133" i="11"/>
  <c r="F58" i="11"/>
  <c r="H56" i="11"/>
  <c r="H107" i="11"/>
  <c r="G28" i="11"/>
  <c r="H133" i="11"/>
  <c r="F56" i="11"/>
  <c r="G109" i="11"/>
  <c r="H134" i="11"/>
  <c r="H54" i="11"/>
  <c r="H81" i="11"/>
  <c r="H31" i="11"/>
  <c r="G29" i="11"/>
  <c r="H135" i="11"/>
  <c r="F55" i="11"/>
  <c r="H55" i="11"/>
  <c r="G57" i="11"/>
  <c r="H106" i="11"/>
  <c r="H82" i="11"/>
  <c r="G30" i="11"/>
  <c r="E62" i="9"/>
  <c r="F111" i="9" s="1"/>
  <c r="J83" i="9"/>
  <c r="H102" i="9"/>
  <c r="H99" i="9"/>
  <c r="J37" i="9"/>
  <c r="I102" i="9"/>
  <c r="H13" i="6"/>
  <c r="I100" i="9"/>
  <c r="H101" i="9"/>
  <c r="H100" i="9"/>
  <c r="I101" i="9"/>
  <c r="H95" i="9"/>
  <c r="J93" i="9"/>
  <c r="G99" i="9"/>
  <c r="G101" i="9"/>
  <c r="G83" i="9"/>
  <c r="I99" i="9"/>
  <c r="J94" i="9"/>
  <c r="G85" i="9"/>
  <c r="J92" i="9"/>
  <c r="G102" i="9"/>
  <c r="G86" i="9"/>
  <c r="E103" i="9"/>
  <c r="G100" i="9"/>
  <c r="E87" i="9"/>
  <c r="I39" i="9"/>
  <c r="I87" i="9"/>
  <c r="H87" i="9"/>
  <c r="J91" i="9"/>
  <c r="J85" i="9"/>
  <c r="J87" i="9" s="1"/>
  <c r="F103" i="9"/>
  <c r="I95" i="9"/>
  <c r="E95" i="9"/>
  <c r="F95" i="9"/>
  <c r="G84" i="9"/>
  <c r="F87" i="9"/>
  <c r="F57" i="11"/>
  <c r="H57" i="11"/>
  <c r="H108" i="11"/>
  <c r="G108" i="11"/>
  <c r="H80" i="11"/>
  <c r="G80" i="11"/>
  <c r="H30" i="11"/>
  <c r="G31" i="11"/>
  <c r="F136" i="11"/>
  <c r="F132" i="11"/>
  <c r="H136" i="11"/>
  <c r="H132" i="11"/>
  <c r="H83" i="11"/>
  <c r="G83" i="11"/>
  <c r="H29" i="11"/>
  <c r="H110" i="11"/>
  <c r="G110" i="11"/>
  <c r="G106" i="11"/>
  <c r="H32" i="11"/>
  <c r="H65" i="9"/>
  <c r="I34" i="9"/>
  <c r="J36" i="9"/>
  <c r="H34" i="9"/>
  <c r="J32" i="9"/>
  <c r="G15" i="9"/>
  <c r="J15" i="9"/>
  <c r="J27" i="9"/>
  <c r="G10" i="9"/>
  <c r="E140" i="9" s="1"/>
  <c r="H39" i="9"/>
  <c r="J10" i="9"/>
  <c r="F140" i="9" s="1"/>
  <c r="G65" i="9"/>
  <c r="G27" i="9"/>
  <c r="G39" i="9"/>
  <c r="J38" i="9"/>
  <c r="J35" i="9"/>
  <c r="G34" i="9"/>
  <c r="G22" i="9"/>
  <c r="J31" i="9"/>
  <c r="J33" i="9"/>
  <c r="J22" i="9"/>
  <c r="I65" i="9"/>
  <c r="F48" i="11" l="1"/>
  <c r="G48" i="11"/>
  <c r="H48" i="11"/>
  <c r="G162" i="11"/>
  <c r="G166" i="11" s="1"/>
  <c r="G161" i="11"/>
  <c r="G165" i="11" s="1"/>
  <c r="F160" i="11"/>
  <c r="D160" i="11"/>
  <c r="D164" i="11" s="1"/>
  <c r="E160" i="11"/>
  <c r="E161" i="11"/>
  <c r="E165" i="11" s="1"/>
  <c r="E162" i="11"/>
  <c r="E166" i="11" s="1"/>
  <c r="D162" i="11"/>
  <c r="D166" i="11" s="1"/>
  <c r="D161" i="11"/>
  <c r="D165" i="11" s="1"/>
  <c r="C162" i="11"/>
  <c r="C166" i="11" s="1"/>
  <c r="C160" i="11"/>
  <c r="C164" i="11" s="1"/>
  <c r="C161" i="11"/>
  <c r="C165" i="11" s="1"/>
  <c r="F162" i="11"/>
  <c r="F166" i="11" s="1"/>
  <c r="F161" i="11"/>
  <c r="F165" i="11" s="1"/>
  <c r="G140" i="9"/>
  <c r="G139" i="9"/>
  <c r="J95" i="9"/>
  <c r="G103" i="9"/>
  <c r="H140" i="9"/>
  <c r="F188" i="11" s="1"/>
  <c r="E188" i="11"/>
  <c r="F139" i="9"/>
  <c r="D171" i="11" s="1"/>
  <c r="D172" i="11" s="1"/>
  <c r="D173" i="11" s="1"/>
  <c r="D175" i="11" s="1"/>
  <c r="H67" i="9"/>
  <c r="E16" i="6"/>
  <c r="F16" i="6"/>
  <c r="H16" i="6"/>
  <c r="G16" i="6"/>
  <c r="D16" i="6"/>
  <c r="C16" i="6"/>
  <c r="I67" i="9"/>
  <c r="I139" i="9"/>
  <c r="G171" i="11" s="1"/>
  <c r="G172" i="11" s="1"/>
  <c r="G173" i="11" s="1"/>
  <c r="G175" i="11" s="1"/>
  <c r="G87" i="9"/>
  <c r="C171" i="11"/>
  <c r="F122" i="9"/>
  <c r="F124" i="9" s="1"/>
  <c r="F116" i="9"/>
  <c r="E17" i="6" s="1"/>
  <c r="E116" i="9"/>
  <c r="J101" i="9"/>
  <c r="I117" i="9"/>
  <c r="I111" i="9"/>
  <c r="I116" i="9"/>
  <c r="F17" i="6" s="1"/>
  <c r="H116" i="9"/>
  <c r="J99" i="9"/>
  <c r="F123" i="9"/>
  <c r="F117" i="9"/>
  <c r="E122" i="9"/>
  <c r="G67" i="9"/>
  <c r="F67" i="9"/>
  <c r="I110" i="9"/>
  <c r="H110" i="9"/>
  <c r="G95" i="9"/>
  <c r="H103" i="9"/>
  <c r="J100" i="9"/>
  <c r="I103" i="9"/>
  <c r="J102" i="9"/>
  <c r="D188" i="11"/>
  <c r="C188" i="11"/>
  <c r="I140" i="9"/>
  <c r="G188" i="11" s="1"/>
  <c r="E171" i="11"/>
  <c r="J34" i="9"/>
  <c r="J39" i="9"/>
  <c r="H139" i="9"/>
  <c r="F171" i="11" s="1"/>
  <c r="F164" i="11" l="1"/>
  <c r="F163" i="11"/>
  <c r="E164" i="11"/>
  <c r="E167" i="11" s="1"/>
  <c r="E163" i="11"/>
  <c r="C163" i="11"/>
  <c r="G160" i="11"/>
  <c r="G163" i="11" s="1"/>
  <c r="D17" i="6"/>
  <c r="I112" i="9"/>
  <c r="D12" i="6"/>
  <c r="H112" i="9"/>
  <c r="G12" i="6"/>
  <c r="H12" i="6" s="1"/>
  <c r="E124" i="9"/>
  <c r="D163" i="11"/>
  <c r="D22" i="6"/>
  <c r="D167" i="11"/>
  <c r="D179" i="11" s="1"/>
  <c r="D180" i="11" s="1"/>
  <c r="D182" i="11" s="1"/>
  <c r="D185" i="11" s="1"/>
  <c r="G22" i="6"/>
  <c r="G185" i="11"/>
  <c r="F167" i="11"/>
  <c r="F179" i="11" s="1"/>
  <c r="H162" i="11"/>
  <c r="H166" i="11"/>
  <c r="D14" i="6"/>
  <c r="G110" i="9"/>
  <c r="G112" i="9" s="1"/>
  <c r="C17" i="6"/>
  <c r="I122" i="9"/>
  <c r="I124" i="9" s="1"/>
  <c r="E18" i="6"/>
  <c r="E19" i="6" s="1"/>
  <c r="G117" i="9"/>
  <c r="H122" i="9"/>
  <c r="H124" i="9" s="1"/>
  <c r="G14" i="6"/>
  <c r="F18" i="6"/>
  <c r="F19" i="6" s="1"/>
  <c r="J117" i="9"/>
  <c r="G18" i="6"/>
  <c r="G123" i="9"/>
  <c r="J111" i="9"/>
  <c r="D18" i="6"/>
  <c r="E14" i="6"/>
  <c r="F14" i="6"/>
  <c r="G17" i="6"/>
  <c r="C18" i="6"/>
  <c r="I123" i="9"/>
  <c r="G111" i="9"/>
  <c r="G122" i="9"/>
  <c r="G124" i="9" s="1"/>
  <c r="J116" i="9"/>
  <c r="G116" i="9"/>
  <c r="J110" i="9"/>
  <c r="J112" i="9" s="1"/>
  <c r="C167" i="11"/>
  <c r="C179" i="11" s="1"/>
  <c r="H165" i="11"/>
  <c r="H161" i="11"/>
  <c r="D189" i="11"/>
  <c r="D190" i="11" s="1"/>
  <c r="D192" i="11" s="1"/>
  <c r="G189" i="11"/>
  <c r="H160" i="11" l="1"/>
  <c r="H163" i="11"/>
  <c r="G164" i="11"/>
  <c r="H164" i="11" s="1"/>
  <c r="D19" i="6"/>
  <c r="D20" i="6" s="1"/>
  <c r="F172" i="11"/>
  <c r="F173" i="11" s="1"/>
  <c r="F175" i="11" s="1"/>
  <c r="F189" i="11" s="1"/>
  <c r="C172" i="11"/>
  <c r="C173" i="11" s="1"/>
  <c r="C175" i="11" s="1"/>
  <c r="C180" i="11"/>
  <c r="C182" i="11" s="1"/>
  <c r="E172" i="11"/>
  <c r="E173" i="11" s="1"/>
  <c r="E175" i="11" s="1"/>
  <c r="E179" i="11"/>
  <c r="F180" i="11"/>
  <c r="F182" i="11" s="1"/>
  <c r="G19" i="6"/>
  <c r="G20" i="6" s="1"/>
  <c r="F20" i="6"/>
  <c r="E20" i="6"/>
  <c r="C14" i="6"/>
  <c r="H14" i="6" s="1"/>
  <c r="J123" i="9"/>
  <c r="D194" i="11"/>
  <c r="D23" i="6"/>
  <c r="D24" i="6" s="1"/>
  <c r="D30" i="6" s="1"/>
  <c r="D32" i="6" s="1"/>
  <c r="D33" i="6" s="1"/>
  <c r="H18" i="6"/>
  <c r="J122" i="9"/>
  <c r="J124" i="9" s="1"/>
  <c r="C19" i="6"/>
  <c r="H17" i="6"/>
  <c r="G190" i="11"/>
  <c r="G192" i="11" s="1"/>
  <c r="G167" i="11" l="1"/>
  <c r="H167" i="11" s="1"/>
  <c r="C185" i="11"/>
  <c r="E189" i="11"/>
  <c r="E190" i="11" s="1"/>
  <c r="E192" i="11" s="1"/>
  <c r="E23" i="6" s="1"/>
  <c r="F22" i="6"/>
  <c r="F185" i="11"/>
  <c r="E22" i="6"/>
  <c r="E180" i="11"/>
  <c r="E182" i="11" s="1"/>
  <c r="H182" i="11" s="1"/>
  <c r="H19" i="6"/>
  <c r="C20" i="6"/>
  <c r="H20" i="6" s="1"/>
  <c r="G194" i="11"/>
  <c r="G23" i="6"/>
  <c r="C189" i="11"/>
  <c r="C190" i="11" s="1"/>
  <c r="C192" i="11" s="1"/>
  <c r="C23" i="6" s="1"/>
  <c r="C22" i="6"/>
  <c r="H175" i="11"/>
  <c r="F190" i="11"/>
  <c r="F192" i="11" s="1"/>
  <c r="C194" i="11" l="1"/>
  <c r="E194" i="11"/>
  <c r="E24" i="6"/>
  <c r="E30" i="6" s="1"/>
  <c r="E32" i="6" s="1"/>
  <c r="E33" i="6" s="1"/>
  <c r="E185" i="11"/>
  <c r="H185" i="11" s="1"/>
  <c r="H22" i="6"/>
  <c r="C24" i="6"/>
  <c r="F194" i="11"/>
  <c r="F23" i="6"/>
  <c r="F24" i="6" s="1"/>
  <c r="F30" i="6" s="1"/>
  <c r="F32" i="6" s="1"/>
  <c r="F33" i="6" s="1"/>
  <c r="G24" i="6"/>
  <c r="G30" i="6" s="1"/>
  <c r="G32" i="6" s="1"/>
  <c r="G33" i="6" s="1"/>
  <c r="H192" i="11"/>
  <c r="H194" i="11" l="1"/>
  <c r="H23" i="6"/>
  <c r="H24" i="6"/>
  <c r="C30" i="6"/>
  <c r="H30" i="6" s="1"/>
  <c r="C32" i="6" l="1"/>
  <c r="C33" i="6" s="1"/>
  <c r="H32" i="6" l="1"/>
  <c r="H33"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<sst xmlns="http://schemas.openxmlformats.org/spreadsheetml/2006/main" count="957" uniqueCount="543">
  <si>
    <t>Société A</t>
  </si>
  <si>
    <t>Société B</t>
  </si>
  <si>
    <t>Société C</t>
  </si>
  <si>
    <t>Société D</t>
  </si>
  <si>
    <t>Société E</t>
  </si>
  <si>
    <t>Total</t>
  </si>
  <si>
    <t>Hors champ</t>
  </si>
  <si>
    <t>Non récupérables</t>
  </si>
  <si>
    <t>Montant total des rémunérations imposables N</t>
  </si>
  <si>
    <t>Taxe sur les salaires avant abattement</t>
  </si>
  <si>
    <t>Décote</t>
  </si>
  <si>
    <t>Intragroupe</t>
  </si>
  <si>
    <t>Tiers</t>
  </si>
  <si>
    <t>Taxables</t>
  </si>
  <si>
    <t>Exonérés</t>
  </si>
  <si>
    <t>Total produits</t>
  </si>
  <si>
    <t xml:space="preserve">Récupérables </t>
  </si>
  <si>
    <t>Abattement de 24 041 € si associations</t>
  </si>
  <si>
    <t>Total groupe</t>
  </si>
  <si>
    <t>Total TS avant application du rapport d'assujetissement</t>
  </si>
  <si>
    <t>Résultat comptable N</t>
  </si>
  <si>
    <t>Impact du GTVA sur la TVA</t>
  </si>
  <si>
    <t>Opérations intragroupes</t>
  </si>
  <si>
    <t>Le montant total des rémunérations imposables (année N)</t>
  </si>
  <si>
    <t xml:space="preserve">Opération réalisées avec des tiers </t>
  </si>
  <si>
    <t>Taxe sur les salaires avant GTVA</t>
  </si>
  <si>
    <t>Taxe sur les salaires après GTVA</t>
  </si>
  <si>
    <t>Coûts organisationnels</t>
  </si>
  <si>
    <t>Coûts d'harmonisation des systèmes d'informations</t>
  </si>
  <si>
    <t>Autres frais à prévoir</t>
  </si>
  <si>
    <t>Impact sur l'impot sur les sociétés</t>
  </si>
  <si>
    <t>Impact sur l'impôt sur les sociétés (hors intégration fiscale)</t>
  </si>
  <si>
    <t>Résultat comptable après option au groupe TVA</t>
  </si>
  <si>
    <t>Impact global</t>
  </si>
  <si>
    <t xml:space="preserve"> </t>
  </si>
  <si>
    <t>Salarié 1</t>
  </si>
  <si>
    <t>Salarié 2</t>
  </si>
  <si>
    <t>Salarié 3</t>
  </si>
  <si>
    <t>Salarié 4</t>
  </si>
  <si>
    <t>Salarié 5</t>
  </si>
  <si>
    <t>Produits</t>
  </si>
  <si>
    <t>Salarié</t>
  </si>
  <si>
    <t>Montant brut annuel estimé</t>
  </si>
  <si>
    <t xml:space="preserve">Montant brut mensuel moyen estimé </t>
  </si>
  <si>
    <t>TOTAL Société A</t>
  </si>
  <si>
    <t>TOTAL Société B</t>
  </si>
  <si>
    <t>TOTAL Société C</t>
  </si>
  <si>
    <t>TOTAL Société D</t>
  </si>
  <si>
    <t>TOTAL Société E</t>
  </si>
  <si>
    <t>Taux normal</t>
  </si>
  <si>
    <t>1er taux majoré</t>
  </si>
  <si>
    <t>2ème taux majoré</t>
  </si>
  <si>
    <t>TAXE SUR SALAIRES - REGLE DES SEUILS DE BASES</t>
  </si>
  <si>
    <t>Base 1er taux majoré</t>
  </si>
  <si>
    <t>Base 2ème taux majoré</t>
  </si>
  <si>
    <t>Bases annuelles  taux normal</t>
  </si>
  <si>
    <t>Base taux normal</t>
  </si>
  <si>
    <t>Base selon taux</t>
  </si>
  <si>
    <t>Synthèse</t>
  </si>
  <si>
    <t>Le tableau des taux en fonction du salaire brut pour chaque salarié est disponible à la fin de cet onglet</t>
  </si>
  <si>
    <t>CTF individuel GTVA</t>
  </si>
  <si>
    <t>CTU GTVA</t>
  </si>
  <si>
    <t>CTF AU</t>
  </si>
  <si>
    <t>Formule de calcul CTU GTVA =&gt;</t>
  </si>
  <si>
    <t>Formule de calcul CTF individuel GTVA =&gt;</t>
  </si>
  <si>
    <t>Formule de calcul CTF individuel Hors GTVA =&gt;</t>
  </si>
  <si>
    <r>
      <rPr>
        <b/>
        <sz val="12"/>
        <color theme="1"/>
        <rFont val="Calibri"/>
        <family val="2"/>
        <scheme val="minor"/>
      </rPr>
      <t>Coefficient de taxation Unique =</t>
    </r>
    <r>
      <rPr>
        <sz val="12"/>
        <color theme="1"/>
        <rFont val="Calibri"/>
        <family val="2"/>
        <scheme val="minor"/>
      </rPr>
      <t xml:space="preserve"> CA imposable ouvrant droit à déduction du membre + (CA interne membre  x Coefficient de taxation de l’AU) / CA imposable du membre + CA interne membre </t>
    </r>
  </si>
  <si>
    <r>
      <rPr>
        <b/>
        <sz val="12"/>
        <color theme="1"/>
        <rFont val="Calibri"/>
        <family val="2"/>
        <scheme val="minor"/>
      </rPr>
      <t>Coefficient de taxation forfaitaire (hors GTVA) =</t>
    </r>
    <r>
      <rPr>
        <sz val="12"/>
        <color theme="1"/>
        <rFont val="Calibri"/>
        <family val="2"/>
        <scheme val="minor"/>
      </rPr>
      <t xml:space="preserve"> CA affèrent aux opérations imposables ouvrant droit à déduction / CA annuel affèrent aux opérations imposables ouvrant droit à déduction et celles n’ouvrant pas droit à déduction</t>
    </r>
  </si>
  <si>
    <t>Calcul Coefficient de taxation</t>
  </si>
  <si>
    <r>
      <rPr>
        <b/>
        <sz val="12"/>
        <color theme="1"/>
        <rFont val="Calibri"/>
        <family val="2"/>
        <scheme val="minor"/>
      </rPr>
      <t xml:space="preserve">Coefficient de taxation forfaitaire de l’assujetti unique = </t>
    </r>
    <r>
      <rPr>
        <sz val="12"/>
        <color theme="1"/>
        <rFont val="Calibri"/>
        <family val="2"/>
        <scheme val="minor"/>
      </rPr>
      <t>CA annuel de l’AU (de tous les membres) affèrent aux opérations imposables ouvrant droit à déduction / CA annuel de l’AU (de tous les membres) affèrent aux opérations imposables ouvrant droit à déduction et celles n’ouvrant pas droit à déduction</t>
    </r>
  </si>
  <si>
    <r>
      <rPr>
        <b/>
        <sz val="12"/>
        <color theme="1"/>
        <rFont val="Calibri"/>
        <family val="2"/>
        <scheme val="minor"/>
      </rPr>
      <t>Coefficient de taxation forfaitaire de l’assujetti unique</t>
    </r>
    <r>
      <rPr>
        <sz val="12"/>
        <color theme="1"/>
        <rFont val="Calibri"/>
        <family val="2"/>
        <scheme val="minor"/>
      </rPr>
      <t xml:space="preserve"> = CA annuel de l’assujetti unique (de tous les membres) affèrent aux opérations imposables ouvrant droit à déduction / CA annuel de l’assujetti unique (de tous les membres) affèrent aux opérations imposables ouvrant droit à déduction et celles n’ouvrant pas droit à déduction</t>
    </r>
  </si>
  <si>
    <t xml:space="preserve">Formule de calcul CTF AU =&gt;
</t>
  </si>
  <si>
    <t>Calcul Rapport d'assujetissement à la taxe sur les salaires</t>
  </si>
  <si>
    <t>(Recettes n'ayant pas ouvert droit à déduction de la TVA (N-1) x 100) / Total des recettes (N-1)</t>
  </si>
  <si>
    <t>Rapport d'assujetissement à la Taxe sur les salaires =&gt;</t>
  </si>
  <si>
    <t>Rapport d'assujetissement à la TS GTVA</t>
  </si>
  <si>
    <t>=&gt; Doit être arrondi par excès à la deuxième décimale</t>
  </si>
  <si>
    <t>&lt;= Cf. onglet "Calcul coef."</t>
  </si>
  <si>
    <t>Base 2nd taux majoré</t>
  </si>
  <si>
    <t>TS hors GTVA</t>
  </si>
  <si>
    <t>TS GTVA</t>
  </si>
  <si>
    <t>Rapport d'assujetissement à la TVA avec GTVA</t>
  </si>
  <si>
    <t>Rapport d'assujetissement à la TVA sans GTVA</t>
  </si>
  <si>
    <t>Au niveau du groupe :</t>
  </si>
  <si>
    <t>Au niveau de chaque entité :</t>
  </si>
  <si>
    <t xml:space="preserve">   Documents juridiques</t>
  </si>
  <si>
    <t>Documents comptables</t>
  </si>
  <si>
    <t>Documents fiscaux</t>
  </si>
  <si>
    <t>❑ Organigramme à jour</t>
  </si>
  <si>
    <t>❑ Présentation des pratiques de refacturations opérées au sein du groupe</t>
  </si>
  <si>
    <t>❑ Convention applicables au regard des refacturations intragroupes pratiquées, le cas échéant</t>
  </si>
  <si>
    <t>❑ Convention d’intégration fiscale, le cas échéant</t>
  </si>
  <si>
    <t>❑ Statuts</t>
  </si>
  <si>
    <t>❑ Kbis de moins de 3 mois</t>
  </si>
  <si>
    <t>❑ Déclaration des bénéficiaires effectifs</t>
  </si>
  <si>
    <t>❑ Procès-verbaux des Assemblées Générales des 3 derniers exercices</t>
  </si>
  <si>
    <t>❑ Convention de trésorerie, le cas échéant</t>
  </si>
  <si>
    <t xml:space="preserve">❑ Fichiers des écritures comptables (FEC) des 3 derniers exercices </t>
  </si>
  <si>
    <t>❑ Recensement des flux intragroupes concernant le dernier exercice (si disponible)</t>
  </si>
  <si>
    <t>❑ Mémento fiscal à jour</t>
  </si>
  <si>
    <t>❑ Liasses fiscales des 3 derniers exercices</t>
  </si>
  <si>
    <t>❑ Déclarations annuelles de liquidation et régularisation de la taxe sur les salaires des 3 derniers exercices (cerfa 2502-SD)</t>
  </si>
  <si>
    <t>❑ Déclarations de TVA des 3 dernières années</t>
  </si>
  <si>
    <t>❑ Plan de comptes comptables</t>
  </si>
  <si>
    <t>❑ Référentiel TVA, le cas échéant pour distinguer les différentes catégories d'opérations au sein d'un même compte comptable</t>
  </si>
  <si>
    <t>=&gt; Cette liste n’est pas exhaustive et pourra être adaptée en fonction des situations rencontrées.</t>
  </si>
  <si>
    <t>Les référentiels applicables</t>
  </si>
  <si>
    <t>Voici la liste des documents à récupérer pour la réalisation de la mission d’accompagnement relative à l’option pour le groupe TVA et à sa mise en place, conformément aux dispositions de l’article 36 de la loi de finances 2025, concernant la taxe sur les salaires.</t>
  </si>
  <si>
    <t>Liste des documents à récupérer</t>
  </si>
  <si>
    <t>Fiche groupe</t>
  </si>
  <si>
    <t>Nombre de sociétés dans le groupe :</t>
  </si>
  <si>
    <t xml:space="preserve">Société tête de groupe ? </t>
  </si>
  <si>
    <t>Activités principales du groupe :</t>
  </si>
  <si>
    <t>Société 1 :</t>
  </si>
  <si>
    <t>Société 2 :</t>
  </si>
  <si>
    <t>Société 3 :</t>
  </si>
  <si>
    <t>Société 4 :</t>
  </si>
  <si>
    <t>Société 5 :</t>
  </si>
  <si>
    <t>Société 6 :</t>
  </si>
  <si>
    <t>Société 7 :</t>
  </si>
  <si>
    <t>Société 8 :</t>
  </si>
  <si>
    <t>Société 9 :</t>
  </si>
  <si>
    <t>Société 10 :</t>
  </si>
  <si>
    <t>Société 11 :</t>
  </si>
  <si>
    <t>Société 12 :</t>
  </si>
  <si>
    <t>Société 13 :</t>
  </si>
  <si>
    <t>Société 14 :</t>
  </si>
  <si>
    <t>Société 15 :</t>
  </si>
  <si>
    <t>Sociétés relevant de la même direction ?</t>
  </si>
  <si>
    <t>Sociétés disposant d’un organe central d’administration ?</t>
  </si>
  <si>
    <t>Commentaires :</t>
  </si>
  <si>
    <t>OUI</t>
  </si>
  <si>
    <t>NON</t>
  </si>
  <si>
    <t>Sociétés organisant leurs activités en concertation partielle ou totale au sein du groupe ?</t>
  </si>
  <si>
    <t>Sociétés en intégration fiscale ?</t>
  </si>
  <si>
    <t>Si oui, lesquelles ?</t>
  </si>
  <si>
    <t>Sociétés disposant d’une convention d’intégration fiscale ?</t>
  </si>
  <si>
    <t>Forme juridique</t>
  </si>
  <si>
    <t>Date de création</t>
  </si>
  <si>
    <t>Code NAF</t>
  </si>
  <si>
    <t>Numéro d'identification TVA</t>
  </si>
  <si>
    <t>Dénomination du groupe :</t>
  </si>
  <si>
    <t>Dénomination</t>
  </si>
  <si>
    <t>SIREN</t>
  </si>
  <si>
    <t>Adresse</t>
  </si>
  <si>
    <t>Pays</t>
  </si>
  <si>
    <t>Effectif</t>
  </si>
  <si>
    <t>Assujetti à la TVA</t>
  </si>
  <si>
    <t>Îles Salomon</t>
  </si>
  <si>
    <t>Îles Marshall</t>
  </si>
  <si>
    <t>Éthiopie</t>
  </si>
  <si>
    <t>États-Unis</t>
  </si>
  <si>
    <t>Érythrée</t>
  </si>
  <si>
    <t>Équateur</t>
  </si>
  <si>
    <t>Émirats arabes unis</t>
  </si>
  <si>
    <t>Égypte</t>
  </si>
  <si>
    <t>Zimbabwe</t>
  </si>
  <si>
    <t>Zambie</t>
  </si>
  <si>
    <t>Yémen</t>
  </si>
  <si>
    <t>Viêt Nam</t>
  </si>
  <si>
    <t>Venezuela</t>
  </si>
  <si>
    <t>Vanuatu</t>
  </si>
  <si>
    <t>Uruguay</t>
  </si>
  <si>
    <t>Ukraine</t>
  </si>
  <si>
    <t>Tuvalu</t>
  </si>
  <si>
    <t>Turquie</t>
  </si>
  <si>
    <t>Turkménistan</t>
  </si>
  <si>
    <t>Tunisie</t>
  </si>
  <si>
    <t>Trinité-et-Tobago</t>
  </si>
  <si>
    <t>Tonga</t>
  </si>
  <si>
    <t>Togo</t>
  </si>
  <si>
    <t>Timor oriental</t>
  </si>
  <si>
    <t>Thaïlande</t>
  </si>
  <si>
    <t>Tchad</t>
  </si>
  <si>
    <t>Tanzanie</t>
  </si>
  <si>
    <t>Tadjikistan</t>
  </si>
  <si>
    <t>Sénégal</t>
  </si>
  <si>
    <t>Syrie</t>
  </si>
  <si>
    <t>Suède</t>
  </si>
  <si>
    <t>Suriname</t>
  </si>
  <si>
    <t>Suisse</t>
  </si>
  <si>
    <t>Sri Lanka</t>
  </si>
  <si>
    <t>Soudan du Sud</t>
  </si>
  <si>
    <t>Soudan</t>
  </si>
  <si>
    <t>Somalie</t>
  </si>
  <si>
    <t>Slovénie</t>
  </si>
  <si>
    <t>Slovaquie</t>
  </si>
  <si>
    <t>Singapour</t>
  </si>
  <si>
    <t>Sierra Leone</t>
  </si>
  <si>
    <t>Seychelles</t>
  </si>
  <si>
    <t>Serbie</t>
  </si>
  <si>
    <t>Sao Tomé-et-Principe</t>
  </si>
  <si>
    <t>Samoa</t>
  </si>
  <si>
    <t>Salvador</t>
  </si>
  <si>
    <t>Sainte-Lucie</t>
  </si>
  <si>
    <t>Saint-Vincent-et-les-Grenadines</t>
  </si>
  <si>
    <t>Saint-Siège</t>
  </si>
  <si>
    <t>Saint-Marin</t>
  </si>
  <si>
    <t>Saint-Christophe-et-Niévès</t>
  </si>
  <si>
    <t>République tchèque</t>
  </si>
  <si>
    <t>République centrafricaine</t>
  </si>
  <si>
    <t>Rwanda</t>
  </si>
  <si>
    <t>Russie</t>
  </si>
  <si>
    <t>Royaume-Uni</t>
  </si>
  <si>
    <t>Roumanie</t>
  </si>
  <si>
    <t>Qatar</t>
  </si>
  <si>
    <t>Pérou</t>
  </si>
  <si>
    <t>Portugal</t>
  </si>
  <si>
    <t>Pologne</t>
  </si>
  <si>
    <t>Philippines</t>
  </si>
  <si>
    <t>Pays-Bas</t>
  </si>
  <si>
    <t>Paraguay</t>
  </si>
  <si>
    <t>Papouasie-Nouvelle-Guinée</t>
  </si>
  <si>
    <t>Panama</t>
  </si>
  <si>
    <t>Palaos</t>
  </si>
  <si>
    <t>Pakistan</t>
  </si>
  <si>
    <t>Ouzbékistan</t>
  </si>
  <si>
    <t>Ouganda</t>
  </si>
  <si>
    <t>Oman</t>
  </si>
  <si>
    <t>Népal</t>
  </si>
  <si>
    <t>Nouvelle-Zélande</t>
  </si>
  <si>
    <t>Norvège</t>
  </si>
  <si>
    <t>Nigeria</t>
  </si>
  <si>
    <t>Niger</t>
  </si>
  <si>
    <t>Nicaragua</t>
  </si>
  <si>
    <t>Nauru</t>
  </si>
  <si>
    <t>Namibie</t>
  </si>
  <si>
    <t>Mozambique</t>
  </si>
  <si>
    <t>Monténégro</t>
  </si>
  <si>
    <t>Mongolie</t>
  </si>
  <si>
    <t>Monaco</t>
  </si>
  <si>
    <t>Moldavie</t>
  </si>
  <si>
    <t>Micronésie</t>
  </si>
  <si>
    <t>Mexique</t>
  </si>
  <si>
    <t>Mauritanie</t>
  </si>
  <si>
    <t>Maurice</t>
  </si>
  <si>
    <t>Maroc</t>
  </si>
  <si>
    <t>Malte</t>
  </si>
  <si>
    <t>Mali</t>
  </si>
  <si>
    <t>Maldives</t>
  </si>
  <si>
    <t>Malawi</t>
  </si>
  <si>
    <t>Malaisie</t>
  </si>
  <si>
    <t>Madagascar</t>
  </si>
  <si>
    <t>Macédoine du Nord</t>
  </si>
  <si>
    <t>Luxembourg</t>
  </si>
  <si>
    <t>Lituanie</t>
  </si>
  <si>
    <t>Liechtenstein</t>
  </si>
  <si>
    <t>Libéria</t>
  </si>
  <si>
    <t>Libye</t>
  </si>
  <si>
    <t>Liban</t>
  </si>
  <si>
    <t>Lettonie</t>
  </si>
  <si>
    <t>Lesotho</t>
  </si>
  <si>
    <t>Laos</t>
  </si>
  <si>
    <t>Koweït</t>
  </si>
  <si>
    <t>Kiribati</t>
  </si>
  <si>
    <t>Kirghizistan</t>
  </si>
  <si>
    <t>Kenya</t>
  </si>
  <si>
    <t>Kazakhstan</t>
  </si>
  <si>
    <t>Jordanie</t>
  </si>
  <si>
    <t>Japon</t>
  </si>
  <si>
    <t>Jamaïque</t>
  </si>
  <si>
    <t>Italie</t>
  </si>
  <si>
    <t>Israël</t>
  </si>
  <si>
    <t>Islande</t>
  </si>
  <si>
    <t>Irlande</t>
  </si>
  <si>
    <t>Iran</t>
  </si>
  <si>
    <t>Irak</t>
  </si>
  <si>
    <t>Indonésie</t>
  </si>
  <si>
    <t>Inde</t>
  </si>
  <si>
    <t>Hongrie</t>
  </si>
  <si>
    <t>Honduras</t>
  </si>
  <si>
    <t>Haïti</t>
  </si>
  <si>
    <t>Géorgie</t>
  </si>
  <si>
    <t>Guyana</t>
  </si>
  <si>
    <t>Guinée-Bissau</t>
  </si>
  <si>
    <t>Guinée équatoriale</t>
  </si>
  <si>
    <t>Guinée</t>
  </si>
  <si>
    <t>Guatemala</t>
  </si>
  <si>
    <t>Grèce</t>
  </si>
  <si>
    <t>Grenade</t>
  </si>
  <si>
    <t>Ghana</t>
  </si>
  <si>
    <t>Gambie</t>
  </si>
  <si>
    <t>Gabon</t>
  </si>
  <si>
    <t>France</t>
  </si>
  <si>
    <t>Finlande</t>
  </si>
  <si>
    <t>Fidji</t>
  </si>
  <si>
    <t>Eswatini</t>
  </si>
  <si>
    <t>Estonie</t>
  </si>
  <si>
    <t>Espagne</t>
  </si>
  <si>
    <t>Dominique</t>
  </si>
  <si>
    <t>Djibouti</t>
  </si>
  <si>
    <t>Danemark</t>
  </si>
  <si>
    <t>Côte d'Ivoire</t>
  </si>
  <si>
    <t>Cuba</t>
  </si>
  <si>
    <t>Croatie</t>
  </si>
  <si>
    <t>Costa Rica</t>
  </si>
  <si>
    <t>Corée du Sud</t>
  </si>
  <si>
    <t>Corée du Nord</t>
  </si>
  <si>
    <t>Congo (RDC)</t>
  </si>
  <si>
    <t>Congo</t>
  </si>
  <si>
    <t>Comores</t>
  </si>
  <si>
    <t>Colombie</t>
  </si>
  <si>
    <t>Chypre</t>
  </si>
  <si>
    <t>Chine</t>
  </si>
  <si>
    <t>Chili</t>
  </si>
  <si>
    <t>Cap-Vert</t>
  </si>
  <si>
    <t>Canada</t>
  </si>
  <si>
    <t>Cameroun</t>
  </si>
  <si>
    <t>Cambodge</t>
  </si>
  <si>
    <t>Bénin</t>
  </si>
  <si>
    <t>Burundi</t>
  </si>
  <si>
    <t>Burkina Faso</t>
  </si>
  <si>
    <t>Bulgarie</t>
  </si>
  <si>
    <t>Brésil</t>
  </si>
  <si>
    <t>Brunei</t>
  </si>
  <si>
    <t>Botswana</t>
  </si>
  <si>
    <t>Bosnie-Herzégovine</t>
  </si>
  <si>
    <t>Bolivie</t>
  </si>
  <si>
    <t>Biélorussie</t>
  </si>
  <si>
    <t>Birmanie</t>
  </si>
  <si>
    <t>Bhoutan</t>
  </si>
  <si>
    <t>Belize</t>
  </si>
  <si>
    <t>Belgique</t>
  </si>
  <si>
    <t>Barbade</t>
  </si>
  <si>
    <t>Bangladesh</t>
  </si>
  <si>
    <t>Bahreïn</t>
  </si>
  <si>
    <t>Bahamas</t>
  </si>
  <si>
    <t>Azerbaïdjan</t>
  </si>
  <si>
    <t>Autriche</t>
  </si>
  <si>
    <t>Australie</t>
  </si>
  <si>
    <t>Arménie</t>
  </si>
  <si>
    <t>Argentine</t>
  </si>
  <si>
    <t>Arabie Saoudite</t>
  </si>
  <si>
    <t>Antigua-et-Barbuda</t>
  </si>
  <si>
    <t>Angola</t>
  </si>
  <si>
    <t>Andorre</t>
  </si>
  <si>
    <t>Allemagne</t>
  </si>
  <si>
    <t>Algérie</t>
  </si>
  <si>
    <t>Albanie</t>
  </si>
  <si>
    <t>Afrique du Sud</t>
  </si>
  <si>
    <t>Afghanistan</t>
  </si>
  <si>
    <t>Membre d'un GTVA</t>
  </si>
  <si>
    <t>Entité détentrice</t>
  </si>
  <si>
    <t>Assujettie à la TVA</t>
  </si>
  <si>
    <t xml:space="preserve">Établie en France </t>
  </si>
  <si>
    <t>Lien économique</t>
  </si>
  <si>
    <t>Lien financier</t>
  </si>
  <si>
    <t>Existence d'un lien financier</t>
  </si>
  <si>
    <t xml:space="preserve">Activité principale de même nature </t>
  </si>
  <si>
    <t>activités ayant un objectif économique commun</t>
  </si>
  <si>
    <t>activité réalisée au bénéfice des autres membres</t>
  </si>
  <si>
    <t>Entités sous la même direction</t>
  </si>
  <si>
    <t>Entités en concertation concernant leurs activités</t>
  </si>
  <si>
    <t>Existence d'un lien économique</t>
  </si>
  <si>
    <t>Lien organisationnel</t>
  </si>
  <si>
    <t>Existence d'un lien organisationnel</t>
  </si>
  <si>
    <t>Éligibles au dispositif groupe TVA</t>
  </si>
  <si>
    <t>Conclusion</t>
  </si>
  <si>
    <t xml:space="preserve">Établi en France </t>
  </si>
  <si>
    <t>Charges</t>
  </si>
  <si>
    <t>Rémanences de TVA</t>
  </si>
  <si>
    <t>Récupérables</t>
  </si>
  <si>
    <t>Mixtes</t>
  </si>
  <si>
    <t>Exonérées</t>
  </si>
  <si>
    <t>Rapport d'assujetissement à la TS hors GTVA</t>
  </si>
  <si>
    <t>CTF individuel hors GTVA</t>
  </si>
  <si>
    <t>Charges (au regard de la TVA)</t>
  </si>
  <si>
    <t>Récupérables au CTF</t>
  </si>
  <si>
    <t>Prestations de services groupes (Honoraires de gestion)</t>
  </si>
  <si>
    <t>Produits financiers liés à l'activité financement du groupe</t>
  </si>
  <si>
    <t>Dividendes du groupe</t>
  </si>
  <si>
    <t>TVA récupérable sur des charges affectables (tiers)</t>
  </si>
  <si>
    <t>TVA non récupérable concernant des charges affectables aux activités financières (tiers)</t>
  </si>
  <si>
    <t>TVA récupérable concernant des charges mixtes (tiers)</t>
  </si>
  <si>
    <t>Absence de TVA sur certaines charges (tiers)</t>
  </si>
  <si>
    <t>Prestations de services groupes (refacturation loyer / informatique)</t>
  </si>
  <si>
    <t>N/A</t>
  </si>
  <si>
    <t>TVA récupérable sur des charges (tiers et groupe) affectables aux activités taxables</t>
  </si>
  <si>
    <t>Absence de TVA sur certaines charges (charges financières groupe)</t>
  </si>
  <si>
    <t>Activité en partie taxable avec des tiers au groupe TVA</t>
  </si>
  <si>
    <t>Activités exonérées avec des tiers groupe TVA</t>
  </si>
  <si>
    <t>TVA récupérable sur des charges (tiers) affectables aux activités taxables</t>
  </si>
  <si>
    <t>TVA non récupérable sur des charges (tiers et groupe) affectables aux activités taxables</t>
  </si>
  <si>
    <t>TVA récupérable concernant des charges mixtes (tiers et groupe)</t>
  </si>
  <si>
    <t>Absence de TVA sur certaines charges financières groupe)</t>
  </si>
  <si>
    <t>Activités exonérées avec des tiers au groupe TVA</t>
  </si>
  <si>
    <t>NA</t>
  </si>
  <si>
    <t>Activités taxables avec des tiers au groupe TVA</t>
  </si>
  <si>
    <t xml:space="preserve">TVA non récupérable sur des charges (tiers et groupe) affectables aux activités taxables </t>
  </si>
  <si>
    <t>Rappel de l'activité des membres</t>
  </si>
  <si>
    <t>Synthèse de l'impact lié à la mise en place du groupe TVA sur la TVA déductible</t>
  </si>
  <si>
    <t>Rémanence de TVA (charges) GTVA</t>
  </si>
  <si>
    <t>Total impact rémanence de TVA (charges)</t>
  </si>
  <si>
    <t>Rémanences de TVA sur les charges intragroupes avant le GTVA</t>
  </si>
  <si>
    <t>Rémanences de TVA sur les charges intragroupes après le GTVA</t>
  </si>
  <si>
    <t>Impact rémanences de TVA sur les charges intragroupes</t>
  </si>
  <si>
    <t>Coefficient de taxation retenu (CTF AU)</t>
  </si>
  <si>
    <t>Rémanences de TVA sur les charges avec les tiers avant le GTVA</t>
  </si>
  <si>
    <t>Rémanences de TVA sur les charges avec les tiers après le GTVA</t>
  </si>
  <si>
    <t>Impact rémanences de TVA sur les charges avec les tiers</t>
  </si>
  <si>
    <t>Impact global sur la TVA (+ gain) (-) perte</t>
  </si>
  <si>
    <t>Impact global sur la Taxe sur les salaires (+ gain) (-) perte</t>
  </si>
  <si>
    <t>Impact sur l'impôt sur les sociétés ( à remplir manuellement)</t>
  </si>
  <si>
    <t xml:space="preserve">Étape 1 : </t>
  </si>
  <si>
    <t xml:space="preserve">Étape 2 : </t>
  </si>
  <si>
    <t>Étape 3 :</t>
  </si>
  <si>
    <t>Étape 4 :</t>
  </si>
  <si>
    <t>Entité détenue</t>
  </si>
  <si>
    <r>
      <t xml:space="preserve">% de détention du capital </t>
    </r>
    <r>
      <rPr>
        <sz val="12"/>
        <color rgb="FFC00000"/>
        <rFont val="Calibri (Corps)"/>
      </rPr>
      <t>(1)</t>
    </r>
  </si>
  <si>
    <r>
      <rPr>
        <sz val="12"/>
        <color rgb="FFC00000"/>
        <rFont val="Calibri (Corps)"/>
      </rPr>
      <t>(1)</t>
    </r>
    <r>
      <rPr>
        <sz val="12"/>
        <color theme="1"/>
        <rFont val="Calibri"/>
        <family val="2"/>
        <scheme val="minor"/>
      </rPr>
      <t xml:space="preserve"> Il existe un lien financier étroit lorsqu'une entité détient directement ou indirectement plus de 50% du capital d'une autre entreprise.</t>
    </r>
  </si>
  <si>
    <r>
      <rPr>
        <sz val="12"/>
        <color rgb="FFC00000"/>
        <rFont val="Calibri (Corps)"/>
      </rPr>
      <t>(2)</t>
    </r>
    <r>
      <rPr>
        <sz val="12"/>
        <color theme="1"/>
        <rFont val="Calibri"/>
        <family val="2"/>
        <scheme val="minor"/>
      </rPr>
      <t xml:space="preserve"> Il existe un lien financier étroit lorsqu'une entité détient directement ou indirectement plus de 50% des droits de vote d'une autre entreprise.</t>
    </r>
  </si>
  <si>
    <r>
      <t xml:space="preserve">% de détention des DDV 
</t>
    </r>
    <r>
      <rPr>
        <sz val="12"/>
        <color rgb="FFC00000"/>
        <rFont val="Calibri (Corps)"/>
      </rPr>
      <t>(2)</t>
    </r>
  </si>
  <si>
    <r>
      <t xml:space="preserve">Lien réputé établi par la loi 
</t>
    </r>
    <r>
      <rPr>
        <sz val="12"/>
        <color rgb="FFC00000"/>
        <rFont val="Calibri (Corps)"/>
      </rPr>
      <t>(3)</t>
    </r>
  </si>
  <si>
    <r>
      <rPr>
        <sz val="12"/>
        <color rgb="FFC00000"/>
        <rFont val="Calibri (Corps)"/>
      </rPr>
      <t>(3)</t>
    </r>
    <r>
      <rPr>
        <sz val="12"/>
        <color theme="1"/>
        <rFont val="Calibri"/>
        <family val="2"/>
        <scheme val="minor"/>
      </rPr>
      <t xml:space="preserve"> On présume l'existence de relations financières étroites, même en l'absence de détention des droits de vote ou du capital entre les entités suivantes :
- Les organes centraux, caisses et fédérations (ex: banque mutualiste ou coopérative)
- Les membres des groupements de mutuelles, d’assurances ou d’organismes sociaux.
- Les personnes respectant les conditions pour l'établissement des comptes combinés
- Les groupements paritaires de protection sociale
- Les sociétés de coordination et les organismes qui possèdent leur capital.</t>
    </r>
  </si>
  <si>
    <t>Appréciation de l'expert-comptable</t>
  </si>
  <si>
    <t xml:space="preserve">Méthodologie </t>
  </si>
  <si>
    <t xml:space="preserve">Commentaires : </t>
  </si>
  <si>
    <t>Commentaires  :</t>
  </si>
  <si>
    <t>Étape 5 :</t>
  </si>
  <si>
    <t>Étape 6 :</t>
  </si>
  <si>
    <t xml:space="preserve">Charges </t>
  </si>
  <si>
    <t>Droit à déduction de la TVA pendant le groupe TVA</t>
  </si>
  <si>
    <t>Le CTF individuel passe de 100% à 0%.
L'intégralité de la TVA récupérable devient de la TVA récupérable au CTF AU.</t>
  </si>
  <si>
    <t>Pas d'évolutions entre le CTF individuel hors et avec le GTVA en raison de l'absence de flux intragroupes sur les produits, il reste à 0%.
La TVA sur les charges mixtes intragroupes et la TVA non récupérable sur les charges intragroupes n'a plus à s'appliquer.</t>
  </si>
  <si>
    <t>Synthèse de l'impact TVA liée au groupe TVA</t>
  </si>
  <si>
    <t>Répartition des charges en focntion de leur régime TVA pendant le GTVA.</t>
  </si>
  <si>
    <t>Calcul de l'impact lié à la rémanence de TVA (charges) hors et avec le GTVA.</t>
  </si>
  <si>
    <t>Rémanence de TVA (charges) hors GTVA</t>
  </si>
  <si>
    <t>Étape 7 :</t>
  </si>
  <si>
    <t>Étape 8 :</t>
  </si>
  <si>
    <t>TAXE SUR SALAIRES - SEUILS DE TAUX</t>
  </si>
  <si>
    <t>Mettre à jour le tableau ci-dessous, s'il n'est plus d'actualité =&gt; https://entreprendre.service-public.fr/vosdroits/F22576</t>
  </si>
  <si>
    <t>Étape 9 :</t>
  </si>
  <si>
    <t>Prendre connaissance de la liste des « Documents à récupérer », l’adapter si nécessaire, puis la transmettre au client.</t>
  </si>
  <si>
    <t>Renseigner les liens étroits existants entre chaque entité via l’onglet "Lien entre entités".
Pour rappel : seules les cases grises doivent être complétées manuellement. Les cases bleues nécessitent de choisir une réponse parmi les options proposées dans une liste déroulante. Quant aux cases blanches, elles se complètent automatiquement à partir des informations mentionnées dans les onglets précédents.
L'objectif de cet outil est d'identifier les entités éligibles au dispositif groupe TVA, sur lesquelles portera la simulation.
Une fois l'onglet complété, et contrôlé par l'expert-comptable ou le chef de mission, il convient d'effectuer un "test d'éligibilité au GTVA" via l'outil disponible en ligne sur le site : www.mzgtva.fr
Cet outil permet de visualiser le périmètre juridiquement applicable grâce au graphe obtenu. Ce dernier, ainsi que l'onglet "Lien entre entités", pourront être imprimés et transmis au client.</t>
  </si>
  <si>
    <t>Récupérer le détail des opérations intragroupes auprès du client. Si elles sont indisponibles, les chiffrer à l'aide des FEC obtenus (ex. : numéro de compte spécifique utilisé pour les opérations intragroupes, référentiel TVA, etc.).
Compléter ensuite le tableau détaillant les produits et charges en fonction de leur régime TVA (taxable ou non pour les produits, récupérable ou non pour les charges), dans l'onglet "Impact TVA".
Vous pouvez également vous appuyer sur des travaux de cadrage de la TVA ou sur les déclarations de TVA.
Une fois toutes les données chiffrées renseignées, veuillez compléter le second tableau de cet onglet. Ce tableau permet de rappeler l'activité de chaque membre en fonction de son régime TVA.</t>
  </si>
  <si>
    <t>Dans l'onglet "Impact TVA", le calcul du coefficient de taxation s'effectue automatiquement. Attention à bien réajuster les formules si le nombre d'entités est supérieur ou inférieur à cinq.
Ce coefficient est calculé selon plusieurs méthodes et situations (Cf. annexe 5) :
- Coefficient de taxation forfaitaire de l'assujetti unique (CTF AU) ;
- Coefficient de taxation individuel hors groupe TVA (CTF individuel hors GTVA) ;
- Coefficient de taxation individuel GTVA (CTF individuel GTVA) ;
- Coefficient de taxation unique du groupe TVA (CTU GTVA).</t>
  </si>
  <si>
    <t>Dans le même onglet que l'étape 5, veuillez indiquer le droit à déduction de la TVA pour chaque entité, pendant la période du groupe TVA.
Vérifiez ensuite la nouvelle répartition des charges en fonction de leur régime TVA, puis calculez l'impact lié à la rémanence de TVA (charges) résultant de la mise en place du dispositif GTVA.
Enfin, établir une synthèse liée à cet impact.</t>
  </si>
  <si>
    <t>Dans le même onglet que les trois précédentes étapes, calculez le rapport d'assujettissement à la taxe sur les salaires.</t>
  </si>
  <si>
    <t>Veuillez renseigner les cases grises dans l'onglet "Impact global".
Cet impact se calcule alors automatiquement.</t>
  </si>
  <si>
    <t>Veuillez analyser les résultats obtenus, réitérer l'expérience avec plus ou moins d'entités si nécessaire, et partager les résultats avec le client.</t>
  </si>
  <si>
    <t>Liste des sociétés composant le groupe :</t>
  </si>
  <si>
    <t>Société F</t>
  </si>
  <si>
    <t>Société G</t>
  </si>
  <si>
    <t>Le groupe Fil rouge est composé de 7 sociétés ayant des activités différentes.</t>
  </si>
  <si>
    <t>La Société A est la holding ; à ce titre, elle anime l’ensemble du groupe.</t>
  </si>
  <si>
    <t>Le service administratif, et notamment le service comptable, de l’ensemble du groupe est employé au sein de la Société B.</t>
  </si>
  <si>
    <t xml:space="preserve">Les décisions stratégiques du groupe sont prises par la Holding A, après consultation des dirigeants de toutes les sociétés du groupe.
</t>
  </si>
  <si>
    <t>Sociétés disposant d’une convention de trésorerie ?</t>
  </si>
  <si>
    <t>Le groupe souhaite mettre en place le dispositif groupe TVA afin de neutraliser cette taxe sur les opérations intragroupes. 
Ces opérations sont assez impostante au sein du groupe, notamment chez la société A et la société B au vu de leurs acvtivités (Cf. onglet "Infos entités").</t>
  </si>
  <si>
    <t>SAS</t>
  </si>
  <si>
    <t>SASU</t>
  </si>
  <si>
    <t>SA</t>
  </si>
  <si>
    <t>123 456 789</t>
  </si>
  <si>
    <t>234 567 890</t>
  </si>
  <si>
    <t>345 678 901</t>
  </si>
  <si>
    <t>012 345 678</t>
  </si>
  <si>
    <t>456 789 012</t>
  </si>
  <si>
    <t>567 890 123</t>
  </si>
  <si>
    <t>678 901 234</t>
  </si>
  <si>
    <t>1 place de la Société A, 75001 PARIS</t>
  </si>
  <si>
    <t>2 place de la Société B, 75001 PARIS</t>
  </si>
  <si>
    <t>3 place de la Société C, 75001 PARIS</t>
  </si>
  <si>
    <t>4 place de la Société D, 75001 PARIS</t>
  </si>
  <si>
    <t>5 place de la Société E, 75001 PARIS</t>
  </si>
  <si>
    <t>6 place de la Société F, 75001 PARIS</t>
  </si>
  <si>
    <t>6 Société G Square, BR1 London</t>
  </si>
  <si>
    <t>Activité de la société</t>
  </si>
  <si>
    <t>6xxxZ</t>
  </si>
  <si>
    <t>7xxxZ</t>
  </si>
  <si>
    <t>7xxxB</t>
  </si>
  <si>
    <t>8xxxB</t>
  </si>
  <si>
    <t>2xxxZ</t>
  </si>
  <si>
    <t>FR01 234 567 890</t>
  </si>
  <si>
    <t>FR12 345 678 901</t>
  </si>
  <si>
    <t>FR23 456 789 012</t>
  </si>
  <si>
    <t>FR34 567 890 123</t>
  </si>
  <si>
    <t>FR45 678 901 234</t>
  </si>
  <si>
    <t>FR56 789 012 345</t>
  </si>
  <si>
    <t>FR67 890 123 456</t>
  </si>
  <si>
    <t>OK</t>
  </si>
  <si>
    <t>Les sociétés A, B, C, D et E respectent les conditions d’éligibilité au dispositif groupe TVA. Elles représentent le périmètre juridiquement applicable, le plus large possible. Ainsi, le groupe TVA peut être constitué de ces cinq entités ou de moins, avec un minimum de deux.</t>
  </si>
  <si>
    <t>TS GTVA à partir de janvier 2026</t>
  </si>
  <si>
    <t>TS GTVA depuis janvier 2023</t>
  </si>
  <si>
    <t>Impact global lié à la mise en place du groupe TVA</t>
  </si>
  <si>
    <t>Impact lié à la mise en place du groupe TVA sur la taxe sur les salaires</t>
  </si>
  <si>
    <t>Information concernant la gestion du groupe</t>
  </si>
  <si>
    <t>Quel est le processus de gestion comptable des opérations de ventes ?</t>
  </si>
  <si>
    <t>Quel est le processus de gestion comptable des opérations d'achats?</t>
  </si>
  <si>
    <t>Les factures de ventes et les encaissements clients sont comptabilisés par la comptabilité auxiliaire. Le lettrage est réalisé en même temps que la saisie des encaissements en journal de banque. Les factures de ventes sont établies par la comptabilité auxiliaire, sur la base des informations saisies au moment de l’appel d’offres et de la commande client. Les appels d’offres et les commandes clients sont suivis par les commerciaux et renseignés dans l’ERP avec les caractéristiques « client », « TVA » et « compte comptable ». Ces informations permettent au contrôle de gestion de poster les éventuelles écritures de clôture (factures à établir ou les produits constatés d’avance).</t>
  </si>
  <si>
    <t>Les factures d’achats et les paiements sont comptabilisés par la comptabilité auxiliaire. Le lettrage est réalisé en même temps que la saisie des paiements en journal de banque.
Les factures d’achats sont saisies par la comptabilité auxiliaire, sur la base des informations renseignées au moment des commandes d’achats. Les éventuelles rémanences de TVA sont saisies sur la même ligne comptable que la charge par nature.
Les commandes d’achats sont suivies par les acheteurs et renseignées dans l’ERP avec les caractéristiques « fournisseur », « TVA » et « compte comptable ». Ces informations permettent au contrôle de gestion de poster les éventuelles écritures de clôture (factures non parvenues ou les charges constatées d’avance).</t>
  </si>
  <si>
    <t>Comment est organisée la direction financière du groupe ?</t>
  </si>
  <si>
    <t>La direction financière est structurée avec les équipes suivantes :
-	comptabilité auxiliaire (clients et fournisseurs) ;
-	contrôle de gestion ;
-	comptabilité bilan (déclaration fiscales et états financiers) ;
-	consolidation
-	équipe fiscale.</t>
  </si>
  <si>
    <t>Comment le système d’information est-il structuré pour assurer la gestion et le suivi des données financières du groupe ?</t>
  </si>
  <si>
    <t>Le groupe dispose d’un ERP unique, la comptabilité des différentes sociétés du groupe est intégrée à cet outil.
L’ERP est entièrement paramétrable de manière à déployer des référentiels analytiques pour les besoins du contrôle de gestion.
Le groupe dispose d’une équipe informatique en support de la finance pour le paramétrage de l’ERP.</t>
  </si>
  <si>
    <t>Le groupe dispose-t-il de référentiels TVA ?</t>
  </si>
  <si>
    <t>Le groupe ne dispose actuellement pas de référentiels TVA mais des plans de comptes/codes analytiques peuvent être créés dans l’outil.</t>
  </si>
  <si>
    <t>Comment sont calculés les coefficients de taxation ?</t>
  </si>
  <si>
    <t>Les calculs de CTF du groupe sont réalisés manuellement par l’équipe comptabilité au moment du bilan.</t>
  </si>
  <si>
    <t>Autres informations importantes ?</t>
  </si>
  <si>
    <t>Compléter les onglets "Fiche groupe", "Infos entités" et "infos gestion groupe" à l’aide des documents récupérés auprès du client et des éventuels entretiens réalisés avec la direction des entités.
Veillez à bien remplir l’ensemble des champs demandés, car certaines informations sont reprises pour le besoin des étapes suivantes.
Pour information, seules les cases grises doivent être complétées manuellement. Les cases bleues, quant à elles, nécessitent de choisir une réponse parmi les options proposées dans une liste déroulante.</t>
  </si>
  <si>
    <t>Étape 10 :</t>
  </si>
  <si>
    <t>périmètre juridiquement applicable</t>
  </si>
  <si>
    <t>=&gt; Faire le "Test d'éligibilité au GTVA" sur le site internet www.mzgtva.fr</t>
  </si>
  <si>
    <t>Chiffre d'affaires en K€</t>
  </si>
  <si>
    <r>
      <t>Le CTF individuel passe de 67% à 0%.</t>
    </r>
    <r>
      <rPr>
        <sz val="12"/>
        <color rgb="FFFF0000"/>
        <rFont val="Calibri (Corps)"/>
      </rPr>
      <t xml:space="preserve">
</t>
    </r>
    <r>
      <rPr>
        <sz val="12"/>
        <color theme="1"/>
        <rFont val="Calibri (Corps)"/>
      </rPr>
      <t>La TVA récupérable et non récupérable devient de la TVA récupérable au CTF AU.</t>
    </r>
  </si>
  <si>
    <t>Pas d'évolutions entre le CTF individuel hors et avec le GTVA en raison de l'absence de flux intragroupes sur les produits. Ce dernier reste égale à 8%
La TVA sur les charges mixtes intragroupes n'a plus à s'appliquer.
Le CTF AU est plus élevé sur les charges mixtes que le CTF individuel hors GTVA.</t>
  </si>
  <si>
    <t>Pas d'évolution entre le CTF individuel hors et avec GTVA en raison de l'absence de flux intragroupes sur les produits, il reste à 100%.
La TVA sur les charges intragroupes était soit récupérable à 100% soit exonérée, pas d'impact pour la société.</t>
  </si>
  <si>
    <t>La société B avant le groupe TVA avait des charges affectables aux activités taxables pour 5m€. Ces charges pendant le groupe TVA vont devenir des charges mixtes en raison des règles d’application des droits à déduction (cf. annexe 5).
La TVA grevant les charges intragroupes étaient en revanche soit affectables à une activité taxable ou sans TVA. Ce changement n’induit pas d’impacts.
Une perte est identifiée pour la société pour un total de 60K€</t>
  </si>
  <si>
    <t>La TVA grevant les charges externes de la société ne change pas en matière d’affectation. L’utilisation du prorata groupe sur les charges mixtes fait en revanche un gain de 1 720K€.
L’absence de TVA sur les charges IG (auparavant mixtes) fait un gain pour la société de 460K€.
Un gain est identifié pour la société pour un total de 2 180K€.</t>
  </si>
  <si>
    <t>La TVA grevant les charges externes de la société ne change pas en matière d’affectation.
En revanche, l’absence de TVA sur les charges intragroupes pendant le groupe TVA (dont la TVA était non récupérable) fait un gain de 500K€ pour la société.
Un gain est identifié pour la société pour un total de 500K€.</t>
  </si>
  <si>
    <t>Absence de changement de règles concernant la déductibilité de la TVA sur les charges pour la société.
Pas d’impact identifié pour la société.</t>
  </si>
  <si>
    <t>Dans l'onglet "Impact TS", vérifiez et, le cas échéant, mettez à jour les seuils de taux et de bases nécessaires pour le calcul de la taxe sur les salaires (un lien vers le site du service public est disponible en fin d'onglet).
Pour obtenir une simulation la plus réaliste possible, indiquez le montant brut mensuel moyen estimé pour chaque employé et pour chaque entité.
Le calcul de l'impact sur la taxe sur les salaires s'effectue alors automatiquement.
En cas d'abattement, veuillez renseigner les cases grises manuellement.
Il est également possible de réaliser cette estimation à partir des données N-1. Dans ce cas, veuillez renseigner directement les bases des rémunérations imposables figurant dans la dernière déclaration annuelle de liquidation et de régularisation de la taxe sur les salaires (Cerfa 2502-SD), dans l'outil disponible en ligne sur le site www.mzgtva.fr</t>
  </si>
  <si>
    <r>
      <t>=&gt; Dans le cas du déploiement d'un référentiel TVA, le groupe sera capable d'appliquer le principe d'affectation (utilisation des codes NA/CI/TR/NR/ST sur les charges (Cf. annexe 19</t>
    </r>
    <r>
      <rPr>
        <sz val="12"/>
        <color theme="1"/>
        <rFont val="Calibri (Corps)"/>
      </rPr>
      <t>)</t>
    </r>
  </si>
  <si>
    <t>ASU CAS PRATIQUE GROUPE TVA</t>
  </si>
  <si>
    <t>Holding ayant une activité de Holding mixte</t>
  </si>
  <si>
    <t>Société ayant pour activité la centralisation et refacturation de charges aux autres filiales du groupe</t>
  </si>
  <si>
    <t>Société ayant une activité avec des clients tiers au groupe (activité en grande majorité exonérée de la TVA)</t>
  </si>
  <si>
    <t>Société ayant une activité avec des clients tiers au groupe (activité exonérée de la TVA)</t>
  </si>
  <si>
    <t>Société ayant une activité avec des clients tiers au groupe (activité taxable à la TVA)</t>
  </si>
  <si>
    <t>Total charges</t>
  </si>
  <si>
    <t>La société A avant le groupe TVA avait des charges avec des tiers affectables aux activités taxables pour 4 000K€ et avec affectables aux activités exonérées pour 100K€. Ces charges pendant le groupe TVA vont devenir des charges mixtes en raison des règles d’application des droits à déduction (cf. annexe 5).
Un gain est identifié pour la société A pour un total de 78K€</t>
  </si>
  <si>
    <t>Impact du GTVA sur la TS avant janvier 2026 (-) perte (+) bénéfice</t>
  </si>
  <si>
    <t>Impact du GTVA sur la TS (-) perte (+) bénéfice</t>
  </si>
  <si>
    <t>Impact du GTVA sur la taxe sur les salaires</t>
  </si>
  <si>
    <t>Coûts de mise en place du GTVA (1)</t>
  </si>
  <si>
    <r>
      <rPr>
        <b/>
        <sz val="12"/>
        <color theme="1"/>
        <rFont val="Calibri (Corps)"/>
      </rPr>
      <t xml:space="preserve">(1) </t>
    </r>
    <r>
      <rPr>
        <sz val="12"/>
        <color theme="1"/>
        <rFont val="Calibri"/>
        <family val="2"/>
        <scheme val="minor"/>
      </rPr>
      <t xml:space="preserve">Les coûts organisationnels, ainsi que ceux liés à l’harmonisation des systèmes d’information, sont engendrés afin de répondre aux exigences du dispositif de groupe TVA. Les dépenses exceptionnelles ne sont pas incluses dans cette simulation, car elles ne concernent que la première année de mise en place. Le cas échéant, elles peuvent être lissées sur plusieurs exercices si leur montant est trop élevé.
</t>
    </r>
  </si>
  <si>
    <t>Salarié 6</t>
  </si>
  <si>
    <t>Salarié 7</t>
  </si>
  <si>
    <t>Salarié 8</t>
  </si>
  <si>
    <t>Salarié 9</t>
  </si>
  <si>
    <t>Salarié 10</t>
  </si>
  <si>
    <t>Salarié 11</t>
  </si>
  <si>
    <t>Salarié 12</t>
  </si>
  <si>
    <t>Salarié 13</t>
  </si>
  <si>
    <t>Salarié 14</t>
  </si>
  <si>
    <t>Salarié 15</t>
  </si>
  <si>
    <t>Salarié 16</t>
  </si>
  <si>
    <t>Salarié 17</t>
  </si>
  <si>
    <t>Salarié 18</t>
  </si>
  <si>
    <t>Salarié 19</t>
  </si>
  <si>
    <t>Salarié 20</t>
  </si>
  <si>
    <t>⚠️ Pour une meilleure comparabilité des modélisations présentées dans ce mémoire et à des fins de simplification, l’hypothèse suivante concernant la masse salariale a été retenue, bien qu’elle ne reflète pas le véritable ordre de grandeur des sociétés A, B, C, D et E :
- Le nombre de salariés est fixé à 20 par société.
- Le total des rémunérations brutes annuelles est de 2 520 000 € par société.
Il est également possible de réaliser cette estimation à partir des données N-1. Dans ce cas, il convient de renseigner directement les bases des rémunérations imposables figurant dans la dernière déclaration annuelle de liquidation et de régularisation de la taxe sur les salaires (Cerfa 2502-SD), via l’outil disponible en ligne sur le site www.mzgtva.fr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</si>
</sst>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2"/>
      <color theme="1"/>
      <name val="Calibri"/>
      <family val="2"/>
      <scheme val="minor"/>
    </font>
    <font>
      <sz val="12"/>
      <color theme="1"/>
      <name val="Calibri"/>
      <family val="2"/>
      <scheme val="minor"/>
    </font>
    <font>
      <b/>
      <sz val="12"/>
      <color theme="1"/>
      <name val="Calibri"/>
      <family val="2"/>
      <scheme val="minor"/>
    </font>
    <font>
      <b/>
      <sz val="12"/>
      <color theme="0"/>
      <name val="Calibri"/>
      <family val="2"/>
      <scheme val="minor"/>
    </font>
    <font>
      <sz val="12"/>
      <color theme="0"/>
      <name val="Calibri"/>
      <family val="2"/>
      <scheme val="minor"/>
    </font>
    <font>
      <b/>
      <sz val="12"/>
      <name val="Calibri"/>
      <family val="2"/>
      <scheme val="minor"/>
    </font>
    <font>
      <sz val="12"/>
      <color rgb="FF7030A0"/>
      <name val="Calibri"/>
      <family val="2"/>
      <scheme val="minor"/>
    </font>
    <font>
      <b/>
      <sz val="10"/>
      <color theme="0"/>
      <name val="Calibri"/>
      <family val="2"/>
      <scheme val="minor"/>
    </font>
    <font>
      <b/>
      <sz val="16"/>
      <color theme="0"/>
      <name val="Calibri"/>
      <family val="2"/>
      <scheme val="minor"/>
    </font>
    <font>
      <b/>
      <sz val="12"/>
      <color theme="1"/>
      <name val="Arial"/>
      <family val="2"/>
    </font>
    <font>
      <b/>
      <u/>
      <sz val="12"/>
      <color theme="4"/>
      <name val="Calibri"/>
      <family val="2"/>
      <scheme val="minor"/>
    </font>
    <font>
      <b/>
      <sz val="14"/>
      <color theme="0"/>
      <name val="Calibri"/>
      <family val="2"/>
      <scheme val="minor"/>
    </font>
    <font>
      <sz val="12"/>
      <color rgb="FFFF0000"/>
      <name val="Calibri (Corps)"/>
    </font>
    <font>
      <sz val="12"/>
      <color theme="1"/>
      <name val="Calibri (Corps)"/>
    </font>
    <font>
      <sz val="12"/>
      <color rgb="FFC00000"/>
      <name val="Calibri (Corps)"/>
    </font>
    <font>
      <b/>
      <sz val="12"/>
      <color rgb="FFFF0000"/>
      <name val="Calibri"/>
      <family val="2"/>
      <scheme val="minor"/>
    </font>
    <font>
      <b/>
      <sz val="20"/>
      <color theme="0"/>
      <name val="Calibri"/>
      <family val="2"/>
      <scheme val="minor"/>
    </font>
    <font>
      <sz val="12"/>
      <color theme="4"/>
      <name val="Calibri"/>
      <family val="2"/>
      <scheme val="minor"/>
    </font>
    <font>
      <b/>
      <sz val="12"/>
      <color theme="1"/>
      <name val="Calibri (Corps)"/>
    </font>
    <font>
      <sz val="8"/>
      <name val="Calibri"/>
      <family val="2"/>
      <scheme val="minor"/>
    </font>
  </fonts>
  <fills count="10">
    <fill>
      <patternFill patternType="none"/>
    </fill>
    <fill>
      <patternFill patternType="gray125"/>
    </fill>
    <fill>
      <patternFill patternType="solid">
        <fgColor theme="2" tint="-9.9978637043366805E-2"/>
        <bgColor indexed="64"/>
      </patternFill>
    </fill>
    <fill>
      <patternFill patternType="solid">
        <fgColor theme="2"/>
        <bgColor indexed="64"/>
      </patternFill>
    </fill>
    <fill>
      <patternFill patternType="solid">
        <fgColor theme="1"/>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theme="4"/>
        <bgColor indexed="64"/>
      </patternFill>
    </fill>
    <fill>
      <patternFill patternType="solid">
        <fgColor theme="4" tint="0.79998168889431442"/>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s>
  <cellStyleXfs count="2">
    <xf numFmtId="0" fontId="0" fillId="0" borderId="0"/>
    <xf numFmtId="9" fontId="1" fillId="0" borderId="0" applyFont="0" applyFill="0" applyBorder="0" applyAlignment="0" applyProtection="0"/>
  </cellStyleXfs>
  <cellXfs count="396">
    <xf numFmtId="0" fontId="0" fillId="0" borderId="0" xfId="0"/>
    <xf numFmtId="4" fontId="0" fillId="0" borderId="0" xfId="0" applyNumberFormat="1"/>
    <xf numFmtId="0" fontId="0" fillId="0" borderId="0" xfId="0" applyAlignment="1">
      <alignment wrapText="1"/>
    </xf>
    <xf numFmtId="3" fontId="0" fillId="0" borderId="0" xfId="0" applyNumberFormat="1"/>
    <xf numFmtId="9" fontId="0" fillId="0" borderId="0" xfId="1" applyFont="1" applyBorder="1"/>
    <xf numFmtId="4" fontId="0" fillId="0" borderId="11" xfId="0" applyNumberFormat="1" applyBorder="1"/>
    <xf numFmtId="4" fontId="0" fillId="3" borderId="1" xfId="0" applyNumberFormat="1" applyFill="1" applyBorder="1"/>
    <xf numFmtId="0" fontId="0" fillId="0" borderId="22" xfId="0" applyBorder="1"/>
    <xf numFmtId="0" fontId="0" fillId="0" borderId="15" xfId="0" applyBorder="1"/>
    <xf numFmtId="0" fontId="0" fillId="0" borderId="31" xfId="0" applyBorder="1"/>
    <xf numFmtId="0" fontId="2" fillId="0" borderId="0" xfId="0" applyFont="1"/>
    <xf numFmtId="3" fontId="2" fillId="0" borderId="0" xfId="0" applyNumberFormat="1" applyFont="1"/>
    <xf numFmtId="3" fontId="2" fillId="0" borderId="13" xfId="0" applyNumberFormat="1" applyFont="1" applyBorder="1"/>
    <xf numFmtId="3" fontId="2" fillId="0" borderId="4" xfId="0" applyNumberFormat="1" applyFont="1" applyBorder="1"/>
    <xf numFmtId="0" fontId="0" fillId="0" borderId="1" xfId="0" applyBorder="1"/>
    <xf numFmtId="4" fontId="0" fillId="0" borderId="5" xfId="0" applyNumberFormat="1" applyBorder="1"/>
    <xf numFmtId="4" fontId="0" fillId="0" borderId="8" xfId="0" applyNumberFormat="1" applyBorder="1"/>
    <xf numFmtId="9" fontId="0" fillId="0" borderId="10" xfId="1" applyFont="1" applyBorder="1"/>
    <xf numFmtId="4" fontId="0" fillId="2" borderId="11" xfId="0" applyNumberFormat="1" applyFill="1" applyBorder="1"/>
    <xf numFmtId="3" fontId="3" fillId="8" borderId="4" xfId="0" applyNumberFormat="1" applyFont="1" applyFill="1" applyBorder="1"/>
    <xf numFmtId="3" fontId="2" fillId="0" borderId="9" xfId="0" applyNumberFormat="1" applyFont="1" applyBorder="1"/>
    <xf numFmtId="9" fontId="2" fillId="4" borderId="7" xfId="1" applyFont="1" applyFill="1" applyBorder="1"/>
    <xf numFmtId="4" fontId="2" fillId="4" borderId="9" xfId="0" applyNumberFormat="1" applyFont="1" applyFill="1" applyBorder="1"/>
    <xf numFmtId="4" fontId="3" fillId="8" borderId="4" xfId="0" applyNumberFormat="1" applyFont="1" applyFill="1" applyBorder="1"/>
    <xf numFmtId="4" fontId="2" fillId="4" borderId="7" xfId="0" applyNumberFormat="1" applyFont="1" applyFill="1" applyBorder="1"/>
    <xf numFmtId="4" fontId="2" fillId="0" borderId="4" xfId="0" applyNumberFormat="1" applyFont="1" applyBorder="1"/>
    <xf numFmtId="10" fontId="0" fillId="0" borderId="0" xfId="0" applyNumberFormat="1"/>
    <xf numFmtId="10" fontId="0" fillId="0" borderId="0" xfId="1" applyNumberFormat="1" applyFont="1"/>
    <xf numFmtId="4" fontId="0" fillId="0" borderId="1" xfId="0" applyNumberFormat="1" applyBorder="1"/>
    <xf numFmtId="4" fontId="4" fillId="8" borderId="1" xfId="0" applyNumberFormat="1" applyFont="1" applyFill="1" applyBorder="1"/>
    <xf numFmtId="0" fontId="5" fillId="0" borderId="16" xfId="0" applyFont="1" applyBorder="1" applyAlignment="1">
      <alignment horizontal="left" vertical="center" wrapText="1"/>
    </xf>
    <xf numFmtId="0" fontId="5" fillId="0" borderId="34" xfId="0" applyFont="1" applyBorder="1" applyAlignment="1">
      <alignment horizontal="left" vertical="center" wrapText="1"/>
    </xf>
    <xf numFmtId="0" fontId="0" fillId="0" borderId="1" xfId="0" applyBorder="1" applyAlignment="1">
      <alignment horizontal="center" vertical="center" wrapText="1"/>
    </xf>
    <xf numFmtId="3" fontId="3" fillId="8" borderId="13" xfId="0" applyNumberFormat="1" applyFont="1" applyFill="1" applyBorder="1"/>
    <xf numFmtId="3" fontId="2" fillId="0" borderId="40" xfId="0" applyNumberFormat="1" applyFont="1" applyBorder="1"/>
    <xf numFmtId="3" fontId="2" fillId="0" borderId="41" xfId="0" applyNumberFormat="1" applyFont="1" applyBorder="1"/>
    <xf numFmtId="0" fontId="5" fillId="0" borderId="19" xfId="0" applyFont="1" applyBorder="1" applyAlignment="1">
      <alignment horizontal="left" vertical="center" wrapText="1"/>
    </xf>
    <xf numFmtId="4" fontId="0" fillId="0" borderId="36" xfId="0" applyNumberFormat="1" applyBorder="1"/>
    <xf numFmtId="10" fontId="0" fillId="0" borderId="0" xfId="1" applyNumberFormat="1" applyFont="1" applyBorder="1"/>
    <xf numFmtId="3" fontId="4" fillId="8" borderId="10" xfId="0" applyNumberFormat="1" applyFont="1" applyFill="1" applyBorder="1" applyAlignment="1">
      <alignment horizontal="center" vertical="center"/>
    </xf>
    <xf numFmtId="3" fontId="3" fillId="8" borderId="10" xfId="0" applyNumberFormat="1" applyFont="1" applyFill="1" applyBorder="1" applyAlignment="1">
      <alignment horizontal="center" vertical="center"/>
    </xf>
    <xf numFmtId="3" fontId="2" fillId="0" borderId="42" xfId="0" applyNumberFormat="1" applyFont="1" applyBorder="1"/>
    <xf numFmtId="4" fontId="0" fillId="0" borderId="42" xfId="0" applyNumberFormat="1" applyBorder="1"/>
    <xf numFmtId="4" fontId="0" fillId="0" borderId="40" xfId="0" applyNumberFormat="1" applyBorder="1"/>
    <xf numFmtId="4" fontId="0" fillId="0" borderId="41" xfId="0" applyNumberFormat="1" applyBorder="1"/>
    <xf numFmtId="4" fontId="0" fillId="0" borderId="39" xfId="0" applyNumberFormat="1" applyBorder="1"/>
    <xf numFmtId="10" fontId="0" fillId="3" borderId="21" xfId="1" applyNumberFormat="1" applyFont="1" applyFill="1" applyBorder="1" applyAlignment="1">
      <alignment vertical="center"/>
    </xf>
    <xf numFmtId="10" fontId="0" fillId="3" borderId="17" xfId="1" applyNumberFormat="1" applyFont="1" applyFill="1" applyBorder="1" applyAlignment="1">
      <alignment vertical="center"/>
    </xf>
    <xf numFmtId="10" fontId="0" fillId="3" borderId="36" xfId="1" applyNumberFormat="1" applyFont="1" applyFill="1" applyBorder="1" applyAlignment="1">
      <alignment vertical="center"/>
    </xf>
    <xf numFmtId="4" fontId="0" fillId="3" borderId="35" xfId="0" applyNumberFormat="1" applyFill="1" applyBorder="1"/>
    <xf numFmtId="4" fontId="0" fillId="0" borderId="43" xfId="0" applyNumberFormat="1" applyBorder="1"/>
    <xf numFmtId="4" fontId="0" fillId="3" borderId="36" xfId="0" applyNumberFormat="1" applyFill="1" applyBorder="1"/>
    <xf numFmtId="0" fontId="4" fillId="8" borderId="37" xfId="0" applyFont="1" applyFill="1" applyBorder="1" applyAlignment="1">
      <alignment horizontal="center" vertical="center" wrapText="1"/>
    </xf>
    <xf numFmtId="0" fontId="4" fillId="8" borderId="21" xfId="0" applyFont="1" applyFill="1" applyBorder="1" applyAlignment="1">
      <alignment horizontal="center" vertical="center" wrapText="1"/>
    </xf>
    <xf numFmtId="4" fontId="3" fillId="8" borderId="2" xfId="0" applyNumberFormat="1" applyFont="1" applyFill="1" applyBorder="1"/>
    <xf numFmtId="0" fontId="3" fillId="8" borderId="4" xfId="0" applyFont="1" applyFill="1" applyBorder="1"/>
    <xf numFmtId="0" fontId="0" fillId="7" borderId="13" xfId="0" applyFill="1" applyBorder="1" applyAlignment="1">
      <alignment horizontal="center" vertical="center"/>
    </xf>
    <xf numFmtId="0" fontId="2" fillId="0" borderId="1" xfId="0" applyFont="1" applyBorder="1"/>
    <xf numFmtId="0" fontId="2" fillId="0" borderId="1" xfId="0" applyFont="1" applyBorder="1" applyAlignment="1">
      <alignment horizontal="left" vertical="center"/>
    </xf>
    <xf numFmtId="4" fontId="3" fillId="0" borderId="0" xfId="0" applyNumberFormat="1" applyFont="1"/>
    <xf numFmtId="4" fontId="2" fillId="0" borderId="2" xfId="0" applyNumberFormat="1" applyFont="1" applyBorder="1"/>
    <xf numFmtId="4" fontId="2" fillId="0" borderId="3" xfId="0" applyNumberFormat="1" applyFont="1" applyBorder="1"/>
    <xf numFmtId="4" fontId="3" fillId="8" borderId="13" xfId="0" applyNumberFormat="1" applyFont="1" applyFill="1" applyBorder="1"/>
    <xf numFmtId="0" fontId="0" fillId="0" borderId="0" xfId="0" applyAlignment="1">
      <alignment horizontal="center" vertical="center" wrapText="1"/>
    </xf>
    <xf numFmtId="0" fontId="0" fillId="0" borderId="5" xfId="0" applyBorder="1"/>
    <xf numFmtId="0" fontId="0" fillId="0" borderId="6" xfId="0" applyBorder="1"/>
    <xf numFmtId="0" fontId="0" fillId="0" borderId="7" xfId="0" applyBorder="1"/>
    <xf numFmtId="0" fontId="3" fillId="0" borderId="8" xfId="0" applyFont="1" applyBorder="1" applyAlignment="1">
      <alignment vertical="center"/>
    </xf>
    <xf numFmtId="0" fontId="3" fillId="0" borderId="9" xfId="0" applyFont="1" applyBorder="1" applyAlignment="1">
      <alignment vertical="center"/>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8" xfId="0" applyBorder="1"/>
    <xf numFmtId="0" fontId="0" fillId="0" borderId="9" xfId="0" applyBorder="1"/>
    <xf numFmtId="0" fontId="10" fillId="0" borderId="45" xfId="0" applyFont="1" applyBorder="1"/>
    <xf numFmtId="0" fontId="0" fillId="0" borderId="8" xfId="0" applyBorder="1" applyAlignment="1">
      <alignment vertical="center"/>
    </xf>
    <xf numFmtId="0" fontId="10" fillId="0" borderId="8" xfId="0" applyFont="1" applyBorder="1" applyAlignment="1">
      <alignment vertical="center"/>
    </xf>
    <xf numFmtId="0" fontId="2" fillId="0" borderId="8" xfId="0" applyFont="1" applyBorder="1"/>
    <xf numFmtId="0" fontId="0" fillId="0" borderId="8" xfId="0" quotePrefix="1" applyBorder="1"/>
    <xf numFmtId="0" fontId="0" fillId="0" borderId="18" xfId="0" applyBorder="1"/>
    <xf numFmtId="0" fontId="0" fillId="0" borderId="32" xfId="0" applyBorder="1"/>
    <xf numFmtId="0" fontId="0" fillId="0" borderId="33" xfId="0" applyBorder="1"/>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3" fillId="8" borderId="10" xfId="0" applyFont="1" applyFill="1" applyBorder="1" applyAlignment="1">
      <alignment horizontal="center" vertical="center"/>
    </xf>
    <xf numFmtId="0" fontId="0" fillId="0" borderId="30" xfId="0" applyBorder="1" applyAlignment="1">
      <alignment horizontal="center"/>
    </xf>
    <xf numFmtId="0" fontId="0" fillId="0" borderId="47" xfId="0" applyBorder="1" applyAlignment="1">
      <alignment horizontal="center"/>
    </xf>
    <xf numFmtId="0" fontId="4" fillId="8" borderId="30" xfId="0" applyFont="1" applyFill="1" applyBorder="1" applyAlignment="1">
      <alignment horizontal="center"/>
    </xf>
    <xf numFmtId="0" fontId="4" fillId="8" borderId="28" xfId="0" applyFont="1" applyFill="1" applyBorder="1" applyAlignment="1">
      <alignment horizontal="center"/>
    </xf>
    <xf numFmtId="0" fontId="4" fillId="8" borderId="46" xfId="0" applyFont="1" applyFill="1" applyBorder="1" applyAlignment="1">
      <alignment horizontal="center"/>
    </xf>
    <xf numFmtId="0" fontId="4" fillId="8" borderId="47" xfId="0" applyFont="1" applyFill="1" applyBorder="1" applyAlignment="1">
      <alignment horizontal="center"/>
    </xf>
    <xf numFmtId="0" fontId="2" fillId="0" borderId="13" xfId="0" applyFont="1" applyBorder="1" applyAlignment="1">
      <alignment horizontal="center" vertical="center" wrapText="1"/>
    </xf>
    <xf numFmtId="0" fontId="0" fillId="7" borderId="25" xfId="0" applyFill="1" applyBorder="1" applyAlignment="1">
      <alignment horizontal="center" vertical="center" wrapText="1"/>
    </xf>
    <xf numFmtId="4" fontId="0" fillId="3" borderId="19" xfId="0" applyNumberFormat="1" applyFill="1" applyBorder="1" applyAlignment="1">
      <alignment wrapText="1"/>
    </xf>
    <xf numFmtId="4" fontId="0" fillId="3" borderId="16" xfId="0" applyNumberFormat="1" applyFill="1" applyBorder="1" applyAlignment="1">
      <alignment wrapText="1"/>
    </xf>
    <xf numFmtId="4" fontId="0" fillId="3" borderId="23" xfId="0" applyNumberFormat="1" applyFill="1" applyBorder="1" applyAlignment="1">
      <alignment wrapText="1"/>
    </xf>
    <xf numFmtId="4" fontId="3" fillId="8" borderId="2" xfId="0" applyNumberFormat="1" applyFont="1" applyFill="1" applyBorder="1" applyAlignment="1">
      <alignment wrapText="1"/>
    </xf>
    <xf numFmtId="0" fontId="0" fillId="7" borderId="29" xfId="0" applyFill="1" applyBorder="1" applyAlignment="1">
      <alignment horizontal="center" vertical="center" wrapText="1"/>
    </xf>
    <xf numFmtId="4" fontId="3" fillId="8" borderId="19" xfId="0" applyNumberFormat="1" applyFont="1" applyFill="1" applyBorder="1" applyAlignment="1">
      <alignment wrapText="1"/>
    </xf>
    <xf numFmtId="4" fontId="3" fillId="8" borderId="14" xfId="0" applyNumberFormat="1" applyFont="1" applyFill="1" applyBorder="1" applyAlignment="1">
      <alignment wrapText="1"/>
    </xf>
    <xf numFmtId="9" fontId="0" fillId="0" borderId="0" xfId="1" applyFont="1" applyBorder="1" applyAlignment="1">
      <alignment wrapText="1"/>
    </xf>
    <xf numFmtId="9" fontId="2" fillId="0" borderId="0" xfId="1" applyFont="1" applyBorder="1" applyAlignment="1">
      <alignment wrapText="1"/>
    </xf>
    <xf numFmtId="0" fontId="3" fillId="8" borderId="1" xfId="0" applyFont="1" applyFill="1" applyBorder="1" applyAlignment="1">
      <alignment horizontal="center" vertical="center" wrapText="1"/>
    </xf>
    <xf numFmtId="9" fontId="2" fillId="0" borderId="38" xfId="1" applyFont="1" applyBorder="1" applyAlignment="1">
      <alignment wrapText="1"/>
    </xf>
    <xf numFmtId="9" fontId="2" fillId="0" borderId="1" xfId="1" applyFont="1" applyBorder="1" applyAlignment="1">
      <alignment wrapText="1"/>
    </xf>
    <xf numFmtId="0" fontId="3" fillId="8" borderId="24" xfId="0" applyFont="1" applyFill="1" applyBorder="1" applyAlignment="1">
      <alignment horizontal="center" vertical="center" wrapText="1"/>
    </xf>
    <xf numFmtId="10" fontId="0" fillId="0" borderId="1" xfId="1" applyNumberFormat="1" applyFont="1" applyBorder="1" applyAlignment="1">
      <alignment wrapText="1"/>
    </xf>
    <xf numFmtId="10" fontId="0" fillId="0" borderId="1" xfId="0" applyNumberFormat="1" applyBorder="1" applyAlignment="1">
      <alignment wrapText="1"/>
    </xf>
    <xf numFmtId="0" fontId="4" fillId="8" borderId="25" xfId="0" applyFont="1" applyFill="1" applyBorder="1" applyAlignment="1">
      <alignment wrapText="1"/>
    </xf>
    <xf numFmtId="0" fontId="4" fillId="8" borderId="26" xfId="0" applyFont="1" applyFill="1" applyBorder="1" applyAlignment="1">
      <alignment wrapText="1"/>
    </xf>
    <xf numFmtId="0" fontId="4" fillId="8" borderId="27" xfId="0" applyFont="1" applyFill="1" applyBorder="1" applyAlignment="1">
      <alignment wrapText="1"/>
    </xf>
    <xf numFmtId="0" fontId="0" fillId="0" borderId="20" xfId="0" applyBorder="1" applyAlignment="1">
      <alignment horizontal="left" vertical="center"/>
    </xf>
    <xf numFmtId="0" fontId="4" fillId="8" borderId="25" xfId="0" applyFont="1" applyFill="1" applyBorder="1" applyAlignment="1">
      <alignment horizontal="center" vertical="center" wrapText="1"/>
    </xf>
    <xf numFmtId="0" fontId="0" fillId="0" borderId="26" xfId="0" applyBorder="1" applyAlignment="1">
      <alignment horizontal="left" vertical="center"/>
    </xf>
    <xf numFmtId="0" fontId="0" fillId="0" borderId="49" xfId="0" applyBorder="1" applyAlignment="1">
      <alignment horizontal="left" vertical="center"/>
    </xf>
    <xf numFmtId="0" fontId="0" fillId="0" borderId="48" xfId="0" applyBorder="1" applyAlignment="1">
      <alignment horizontal="left" vertical="center"/>
    </xf>
    <xf numFmtId="0" fontId="0" fillId="0" borderId="50" xfId="0" applyBorder="1" applyAlignment="1">
      <alignment horizontal="left" vertical="center"/>
    </xf>
    <xf numFmtId="0" fontId="0" fillId="0" borderId="1" xfId="0" applyBorder="1" applyAlignment="1">
      <alignment horizontal="left" vertical="center"/>
    </xf>
    <xf numFmtId="0" fontId="0" fillId="0" borderId="35" xfId="0" applyBorder="1" applyAlignment="1">
      <alignment horizontal="left" vertical="center"/>
    </xf>
    <xf numFmtId="9" fontId="2" fillId="0" borderId="13" xfId="1" applyFont="1" applyBorder="1" applyAlignment="1">
      <alignment horizontal="center" vertical="center" wrapText="1"/>
    </xf>
    <xf numFmtId="4" fontId="3" fillId="8" borderId="29" xfId="0" applyNumberFormat="1" applyFont="1" applyFill="1" applyBorder="1" applyAlignment="1">
      <alignment wrapText="1"/>
    </xf>
    <xf numFmtId="4" fontId="0" fillId="3" borderId="49" xfId="0" applyNumberFormat="1" applyFill="1" applyBorder="1" applyAlignment="1">
      <alignment wrapText="1"/>
    </xf>
    <xf numFmtId="4" fontId="0" fillId="3" borderId="48" xfId="0" applyNumberFormat="1" applyFill="1" applyBorder="1" applyAlignment="1">
      <alignment wrapText="1"/>
    </xf>
    <xf numFmtId="4" fontId="0" fillId="3" borderId="53" xfId="0" applyNumberFormat="1" applyFill="1" applyBorder="1" applyAlignment="1">
      <alignment wrapText="1"/>
    </xf>
    <xf numFmtId="4" fontId="3" fillId="8" borderId="42" xfId="0" applyNumberFormat="1" applyFont="1" applyFill="1" applyBorder="1"/>
    <xf numFmtId="4" fontId="3" fillId="8" borderId="39" xfId="0" applyNumberFormat="1" applyFont="1" applyFill="1" applyBorder="1"/>
    <xf numFmtId="4" fontId="3" fillId="8" borderId="11" xfId="0" applyNumberFormat="1" applyFont="1" applyFill="1" applyBorder="1"/>
    <xf numFmtId="0" fontId="0" fillId="7" borderId="13" xfId="0" applyFill="1" applyBorder="1" applyAlignment="1">
      <alignment horizontal="center" vertical="center" wrapText="1"/>
    </xf>
    <xf numFmtId="4" fontId="3" fillId="8" borderId="42" xfId="0" applyNumberFormat="1" applyFont="1" applyFill="1" applyBorder="1" applyAlignment="1">
      <alignment wrapText="1"/>
    </xf>
    <xf numFmtId="4" fontId="3" fillId="8" borderId="39" xfId="0" applyNumberFormat="1" applyFont="1" applyFill="1" applyBorder="1" applyAlignment="1">
      <alignment wrapText="1"/>
    </xf>
    <xf numFmtId="4" fontId="3" fillId="8" borderId="11" xfId="0" applyNumberFormat="1" applyFont="1" applyFill="1" applyBorder="1" applyAlignment="1">
      <alignment wrapText="1"/>
    </xf>
    <xf numFmtId="4" fontId="3" fillId="8" borderId="13" xfId="0" applyNumberFormat="1" applyFont="1" applyFill="1" applyBorder="1" applyAlignment="1">
      <alignment wrapText="1"/>
    </xf>
    <xf numFmtId="4" fontId="3" fillId="8" borderId="54" xfId="0" applyNumberFormat="1" applyFont="1" applyFill="1" applyBorder="1" applyAlignment="1">
      <alignment wrapText="1"/>
    </xf>
    <xf numFmtId="4" fontId="3" fillId="8" borderId="45" xfId="0" applyNumberFormat="1" applyFont="1" applyFill="1" applyBorder="1" applyAlignment="1">
      <alignment wrapText="1"/>
    </xf>
    <xf numFmtId="10" fontId="0" fillId="0" borderId="0" xfId="1" applyNumberFormat="1" applyFont="1" applyBorder="1" applyAlignment="1">
      <alignment wrapText="1"/>
    </xf>
    <xf numFmtId="0" fontId="2" fillId="0" borderId="48" xfId="0" applyFont="1" applyBorder="1" applyAlignment="1">
      <alignment horizontal="left" vertical="center"/>
    </xf>
    <xf numFmtId="4" fontId="0" fillId="7" borderId="25" xfId="0" applyNumberFormat="1" applyFill="1" applyBorder="1" applyAlignment="1">
      <alignment horizontal="center" vertical="center" wrapText="1"/>
    </xf>
    <xf numFmtId="4" fontId="0" fillId="7" borderId="29" xfId="0" applyNumberFormat="1" applyFill="1" applyBorder="1" applyAlignment="1">
      <alignment horizontal="center" vertical="center" wrapText="1"/>
    </xf>
    <xf numFmtId="4" fontId="0" fillId="7" borderId="13" xfId="0" applyNumberFormat="1" applyFill="1" applyBorder="1" applyAlignment="1">
      <alignment horizontal="center" vertical="center" wrapText="1"/>
    </xf>
    <xf numFmtId="4" fontId="0" fillId="7" borderId="13" xfId="0" applyNumberFormat="1" applyFill="1" applyBorder="1" applyAlignment="1">
      <alignment horizontal="center" vertical="center"/>
    </xf>
    <xf numFmtId="4" fontId="0" fillId="0" borderId="16" xfId="1" applyNumberFormat="1" applyFont="1" applyBorder="1" applyAlignment="1">
      <alignment wrapText="1"/>
    </xf>
    <xf numFmtId="4" fontId="0" fillId="0" borderId="34" xfId="1" applyNumberFormat="1" applyFont="1" applyBorder="1" applyAlignment="1">
      <alignment wrapText="1"/>
    </xf>
    <xf numFmtId="4" fontId="0" fillId="4" borderId="34" xfId="1" applyNumberFormat="1" applyFont="1" applyFill="1" applyBorder="1" applyAlignment="1">
      <alignment wrapText="1"/>
    </xf>
    <xf numFmtId="4" fontId="0" fillId="4" borderId="34" xfId="0" applyNumberFormat="1" applyFill="1" applyBorder="1" applyAlignment="1">
      <alignment wrapText="1"/>
    </xf>
    <xf numFmtId="4" fontId="0" fillId="0" borderId="55" xfId="1" applyNumberFormat="1" applyFont="1" applyBorder="1" applyAlignment="1">
      <alignment wrapText="1"/>
    </xf>
    <xf numFmtId="4" fontId="0" fillId="0" borderId="0" xfId="1" applyNumberFormat="1" applyFont="1" applyBorder="1" applyAlignment="1">
      <alignment wrapText="1"/>
    </xf>
    <xf numFmtId="4" fontId="0" fillId="4" borderId="23" xfId="1" applyNumberFormat="1" applyFont="1" applyFill="1" applyBorder="1" applyAlignment="1">
      <alignment wrapText="1"/>
    </xf>
    <xf numFmtId="4" fontId="0" fillId="0" borderId="56" xfId="1" applyNumberFormat="1" applyFont="1" applyBorder="1" applyAlignment="1">
      <alignment wrapText="1"/>
    </xf>
    <xf numFmtId="4" fontId="0" fillId="7" borderId="51" xfId="0" applyNumberFormat="1" applyFill="1" applyBorder="1" applyAlignment="1">
      <alignment horizontal="center" vertical="center" wrapText="1"/>
    </xf>
    <xf numFmtId="4" fontId="0" fillId="7" borderId="52" xfId="0" applyNumberFormat="1" applyFill="1" applyBorder="1" applyAlignment="1">
      <alignment horizontal="center" vertical="center" wrapText="1"/>
    </xf>
    <xf numFmtId="4" fontId="0" fillId="7" borderId="10" xfId="0" applyNumberFormat="1" applyFill="1" applyBorder="1" applyAlignment="1">
      <alignment horizontal="center" vertical="center"/>
    </xf>
    <xf numFmtId="4" fontId="3" fillId="8" borderId="40" xfId="0" applyNumberFormat="1" applyFont="1" applyFill="1" applyBorder="1" applyAlignment="1">
      <alignment wrapText="1"/>
    </xf>
    <xf numFmtId="4" fontId="3" fillId="8" borderId="25" xfId="1" applyNumberFormat="1" applyFont="1" applyFill="1" applyBorder="1" applyAlignment="1">
      <alignment wrapText="1"/>
    </xf>
    <xf numFmtId="4" fontId="3" fillId="8" borderId="16" xfId="1" applyNumberFormat="1" applyFont="1" applyFill="1" applyBorder="1" applyAlignment="1">
      <alignment wrapText="1"/>
    </xf>
    <xf numFmtId="0" fontId="4" fillId="8" borderId="26" xfId="0" applyFont="1" applyFill="1" applyBorder="1" applyAlignment="1">
      <alignment horizontal="center" vertical="center" wrapText="1"/>
    </xf>
    <xf numFmtId="0" fontId="4" fillId="8" borderId="27" xfId="0" applyFont="1" applyFill="1" applyBorder="1" applyAlignment="1">
      <alignment horizontal="center" vertical="center" wrapText="1"/>
    </xf>
    <xf numFmtId="0" fontId="0" fillId="0" borderId="26" xfId="0" applyBorder="1" applyAlignment="1">
      <alignment horizontal="left" vertical="top" wrapText="1"/>
    </xf>
    <xf numFmtId="0" fontId="0" fillId="0" borderId="27" xfId="0" applyBorder="1" applyAlignment="1">
      <alignment horizontal="left" vertical="top" wrapText="1"/>
    </xf>
    <xf numFmtId="3" fontId="2" fillId="0" borderId="32" xfId="0" applyNumberFormat="1" applyFont="1" applyBorder="1"/>
    <xf numFmtId="3" fontId="2" fillId="0" borderId="33" xfId="0" applyNumberFormat="1" applyFont="1" applyBorder="1"/>
    <xf numFmtId="3" fontId="3" fillId="8" borderId="25" xfId="0" applyNumberFormat="1" applyFont="1" applyFill="1" applyBorder="1" applyAlignment="1">
      <alignment horizontal="center" vertical="center"/>
    </xf>
    <xf numFmtId="3" fontId="3" fillId="8" borderId="26" xfId="0" applyNumberFormat="1" applyFont="1" applyFill="1" applyBorder="1" applyAlignment="1">
      <alignment horizontal="center" vertical="center"/>
    </xf>
    <xf numFmtId="3" fontId="3" fillId="8" borderId="27" xfId="0" applyNumberFormat="1" applyFont="1" applyFill="1" applyBorder="1" applyAlignment="1">
      <alignment horizontal="center" vertical="center"/>
    </xf>
    <xf numFmtId="3" fontId="2" fillId="0" borderId="2" xfId="0" applyNumberFormat="1" applyFont="1" applyBorder="1"/>
    <xf numFmtId="3" fontId="2" fillId="0" borderId="3" xfId="0" applyNumberFormat="1" applyFont="1" applyBorder="1"/>
    <xf numFmtId="0" fontId="0" fillId="2" borderId="1" xfId="0" applyFill="1" applyBorder="1" applyAlignment="1">
      <alignment horizontal="left" vertical="top" wrapText="1"/>
    </xf>
    <xf numFmtId="0" fontId="0" fillId="3" borderId="20" xfId="0" applyFill="1" applyBorder="1" applyAlignment="1">
      <alignment horizontal="left" vertical="top" wrapText="1"/>
    </xf>
    <xf numFmtId="0" fontId="0" fillId="3" borderId="21" xfId="0" applyFill="1" applyBorder="1" applyAlignment="1">
      <alignment horizontal="left" vertical="top" wrapText="1"/>
    </xf>
    <xf numFmtId="0" fontId="0" fillId="3" borderId="1" xfId="0" applyFill="1" applyBorder="1" applyAlignment="1">
      <alignment horizontal="left" vertical="top" wrapText="1"/>
    </xf>
    <xf numFmtId="0" fontId="0" fillId="3" borderId="17" xfId="0" applyFill="1" applyBorder="1" applyAlignment="1">
      <alignment horizontal="left" vertical="top" wrapText="1"/>
    </xf>
    <xf numFmtId="0" fontId="0" fillId="3" borderId="35" xfId="0" applyFill="1" applyBorder="1" applyAlignment="1">
      <alignment horizontal="left" vertical="top" wrapText="1"/>
    </xf>
    <xf numFmtId="0" fontId="0" fillId="3" borderId="36" xfId="0" applyFill="1" applyBorder="1" applyAlignment="1">
      <alignment horizontal="left" vertical="top" wrapText="1"/>
    </xf>
    <xf numFmtId="0" fontId="2" fillId="0" borderId="26" xfId="0" applyFont="1" applyBorder="1" applyAlignment="1">
      <alignment horizontal="left" vertical="center" wrapText="1"/>
    </xf>
    <xf numFmtId="4" fontId="0" fillId="0" borderId="49" xfId="0" applyNumberFormat="1" applyBorder="1" applyAlignment="1">
      <alignment wrapText="1"/>
    </xf>
    <xf numFmtId="4" fontId="0" fillId="0" borderId="48" xfId="0" applyNumberFormat="1" applyBorder="1" applyAlignment="1">
      <alignment wrapText="1"/>
    </xf>
    <xf numFmtId="4" fontId="0" fillId="0" borderId="53" xfId="0" applyNumberFormat="1" applyBorder="1" applyAlignment="1">
      <alignment wrapText="1"/>
    </xf>
    <xf numFmtId="4" fontId="3" fillId="8" borderId="49" xfId="0" applyNumberFormat="1" applyFont="1" applyFill="1" applyBorder="1" applyAlignment="1">
      <alignment wrapText="1"/>
    </xf>
    <xf numFmtId="4" fontId="3" fillId="8" borderId="16" xfId="0" applyNumberFormat="1" applyFont="1" applyFill="1" applyBorder="1" applyAlignment="1">
      <alignment wrapText="1"/>
    </xf>
    <xf numFmtId="4" fontId="3" fillId="8" borderId="48" xfId="0" applyNumberFormat="1" applyFont="1" applyFill="1" applyBorder="1" applyAlignment="1">
      <alignment wrapText="1"/>
    </xf>
    <xf numFmtId="4" fontId="3" fillId="8" borderId="40" xfId="0" applyNumberFormat="1" applyFont="1" applyFill="1" applyBorder="1"/>
    <xf numFmtId="4" fontId="3" fillId="8" borderId="23" xfId="0" applyNumberFormat="1" applyFont="1" applyFill="1" applyBorder="1" applyAlignment="1">
      <alignment wrapText="1"/>
    </xf>
    <xf numFmtId="4" fontId="3" fillId="8" borderId="53" xfId="0" applyNumberFormat="1" applyFont="1" applyFill="1" applyBorder="1" applyAlignment="1">
      <alignment wrapText="1"/>
    </xf>
    <xf numFmtId="4" fontId="3" fillId="8" borderId="41" xfId="0" applyNumberFormat="1" applyFont="1" applyFill="1" applyBorder="1"/>
    <xf numFmtId="3" fontId="0" fillId="0" borderId="9" xfId="0" applyNumberFormat="1" applyBorder="1"/>
    <xf numFmtId="3" fontId="0" fillId="0" borderId="11" xfId="0" applyNumberFormat="1" applyBorder="1"/>
    <xf numFmtId="0" fontId="0" fillId="0" borderId="1" xfId="0" applyBorder="1" applyAlignment="1">
      <alignment horizontal="left" vertical="top"/>
    </xf>
    <xf numFmtId="0" fontId="0" fillId="2" borderId="1" xfId="0" applyFill="1" applyBorder="1" applyAlignment="1">
      <alignment horizontal="left" vertical="top"/>
    </xf>
    <xf numFmtId="0" fontId="0" fillId="9" borderId="1" xfId="0" applyFill="1" applyBorder="1" applyAlignment="1">
      <alignment horizontal="left" vertical="top"/>
    </xf>
    <xf numFmtId="14" fontId="0" fillId="2" borderId="1" xfId="0" applyNumberFormat="1" applyFill="1" applyBorder="1" applyAlignment="1">
      <alignment horizontal="left" vertical="top"/>
    </xf>
    <xf numFmtId="0" fontId="2" fillId="5" borderId="39" xfId="0" applyFont="1" applyFill="1" applyBorder="1" applyAlignment="1">
      <alignment horizontal="center"/>
    </xf>
    <xf numFmtId="0" fontId="2" fillId="5" borderId="12" xfId="0" applyFont="1" applyFill="1" applyBorder="1" applyAlignment="1">
      <alignment horizontal="center"/>
    </xf>
    <xf numFmtId="0" fontId="0" fillId="9" borderId="28" xfId="0" applyFill="1" applyBorder="1" applyAlignment="1">
      <alignment horizontal="center"/>
    </xf>
    <xf numFmtId="0" fontId="0" fillId="9" borderId="1" xfId="0" applyFill="1" applyBorder="1" applyAlignment="1">
      <alignment horizontal="center"/>
    </xf>
    <xf numFmtId="0" fontId="0" fillId="9" borderId="35" xfId="0" applyFill="1" applyBorder="1" applyAlignment="1">
      <alignment horizontal="center"/>
    </xf>
    <xf numFmtId="0" fontId="0" fillId="9" borderId="14" xfId="0" applyFill="1" applyBorder="1" applyAlignment="1">
      <alignment horizontal="center"/>
    </xf>
    <xf numFmtId="0" fontId="0" fillId="9" borderId="16" xfId="0" applyFill="1" applyBorder="1" applyAlignment="1">
      <alignment horizontal="center"/>
    </xf>
    <xf numFmtId="0" fontId="0" fillId="9" borderId="34" xfId="0" applyFill="1" applyBorder="1" applyAlignment="1">
      <alignment horizontal="center"/>
    </xf>
    <xf numFmtId="9" fontId="0" fillId="3" borderId="16" xfId="1" applyFont="1" applyFill="1" applyBorder="1"/>
    <xf numFmtId="9" fontId="0" fillId="3" borderId="1" xfId="1" applyFont="1" applyFill="1" applyBorder="1"/>
    <xf numFmtId="9" fontId="0" fillId="3" borderId="34" xfId="1" applyFont="1" applyFill="1" applyBorder="1"/>
    <xf numFmtId="9" fontId="0" fillId="3" borderId="35" xfId="1" applyFont="1" applyFill="1" applyBorder="1"/>
    <xf numFmtId="0" fontId="0" fillId="3" borderId="16" xfId="0" applyFill="1" applyBorder="1"/>
    <xf numFmtId="0" fontId="0" fillId="3" borderId="34" xfId="0" applyFill="1" applyBorder="1"/>
    <xf numFmtId="0" fontId="0" fillId="3" borderId="19" xfId="0" applyFill="1" applyBorder="1"/>
    <xf numFmtId="0" fontId="4" fillId="8" borderId="20" xfId="0" applyFont="1" applyFill="1" applyBorder="1" applyAlignment="1">
      <alignment horizontal="center"/>
    </xf>
    <xf numFmtId="0" fontId="0" fillId="0" borderId="21" xfId="0" applyBorder="1" applyAlignment="1">
      <alignment horizontal="center"/>
    </xf>
    <xf numFmtId="0" fontId="4" fillId="8" borderId="42" xfId="0" applyFont="1" applyFill="1" applyBorder="1" applyAlignment="1">
      <alignment horizontal="center"/>
    </xf>
    <xf numFmtId="0" fontId="4" fillId="8" borderId="39" xfId="0" applyFont="1" applyFill="1" applyBorder="1" applyAlignment="1">
      <alignment horizontal="center"/>
    </xf>
    <xf numFmtId="0" fontId="4" fillId="8" borderId="12" xfId="0" applyFont="1" applyFill="1" applyBorder="1" applyAlignment="1">
      <alignment horizontal="center"/>
    </xf>
    <xf numFmtId="0" fontId="0" fillId="9" borderId="19" xfId="0" applyFill="1" applyBorder="1" applyAlignment="1">
      <alignment horizontal="center"/>
    </xf>
    <xf numFmtId="0" fontId="0" fillId="9" borderId="20" xfId="0" applyFill="1" applyBorder="1" applyAlignment="1">
      <alignment horizontal="center"/>
    </xf>
    <xf numFmtId="0" fontId="4" fillId="8" borderId="21" xfId="0" applyFont="1" applyFill="1" applyBorder="1" applyAlignment="1">
      <alignment horizontal="center"/>
    </xf>
    <xf numFmtId="9" fontId="0" fillId="3" borderId="19" xfId="1" applyFont="1" applyFill="1" applyBorder="1"/>
    <xf numFmtId="9" fontId="0" fillId="3" borderId="20" xfId="1" applyFont="1" applyFill="1" applyBorder="1"/>
    <xf numFmtId="3" fontId="0" fillId="0" borderId="8" xfId="0" applyNumberFormat="1" applyBorder="1"/>
    <xf numFmtId="3" fontId="0" fillId="5" borderId="0" xfId="0" applyNumberFormat="1" applyFill="1"/>
    <xf numFmtId="3" fontId="2" fillId="0" borderId="8" xfId="0" applyNumberFormat="1" applyFont="1" applyBorder="1"/>
    <xf numFmtId="3" fontId="2" fillId="5" borderId="0" xfId="0" applyNumberFormat="1" applyFont="1" applyFill="1"/>
    <xf numFmtId="3" fontId="0" fillId="2" borderId="0" xfId="0" applyNumberFormat="1" applyFill="1"/>
    <xf numFmtId="3" fontId="0" fillId="6" borderId="0" xfId="0" applyNumberFormat="1" applyFill="1"/>
    <xf numFmtId="3" fontId="0" fillId="0" borderId="18" xfId="0" applyNumberFormat="1" applyBorder="1"/>
    <xf numFmtId="3" fontId="0" fillId="0" borderId="32" xfId="0" applyNumberFormat="1" applyBorder="1"/>
    <xf numFmtId="3" fontId="0" fillId="0" borderId="33" xfId="0" applyNumberFormat="1" applyBorder="1"/>
    <xf numFmtId="0" fontId="0" fillId="0" borderId="0" xfId="0" applyAlignment="1">
      <alignment horizontal="left" vertical="top" wrapText="1"/>
    </xf>
    <xf numFmtId="1" fontId="6" fillId="0" borderId="0" xfId="0" applyNumberFormat="1" applyFont="1" applyAlignment="1">
      <alignment horizontal="center" vertical="center" wrapText="1"/>
    </xf>
    <xf numFmtId="4" fontId="0" fillId="0" borderId="0" xfId="0" applyNumberFormat="1" applyAlignment="1">
      <alignment vertical="center"/>
    </xf>
    <xf numFmtId="4" fontId="6" fillId="0" borderId="0" xfId="0" applyNumberFormat="1" applyFont="1" applyAlignment="1">
      <alignment vertical="center"/>
    </xf>
    <xf numFmtId="0" fontId="0" fillId="0" borderId="0" xfId="0" applyAlignment="1">
      <alignment horizontal="center" vertical="center"/>
    </xf>
    <xf numFmtId="4" fontId="0" fillId="0" borderId="9" xfId="0" applyNumberFormat="1" applyBorder="1"/>
    <xf numFmtId="4" fontId="2" fillId="0" borderId="0" xfId="0" applyNumberFormat="1" applyFont="1"/>
    <xf numFmtId="4" fontId="2" fillId="0" borderId="9" xfId="0" applyNumberFormat="1" applyFont="1" applyBorder="1"/>
    <xf numFmtId="4" fontId="0" fillId="0" borderId="0" xfId="0" applyNumberFormat="1" applyAlignment="1">
      <alignment horizontal="center"/>
    </xf>
    <xf numFmtId="0" fontId="9" fillId="0" borderId="0" xfId="0" applyFont="1"/>
    <xf numFmtId="0" fontId="0" fillId="0" borderId="6" xfId="0" applyBorder="1" applyAlignment="1">
      <alignment wrapText="1"/>
    </xf>
    <xf numFmtId="0" fontId="3" fillId="0" borderId="0" xfId="0" applyFont="1"/>
    <xf numFmtId="4" fontId="3" fillId="0" borderId="0" xfId="0" applyNumberFormat="1" applyFont="1" applyAlignment="1">
      <alignment wrapText="1"/>
    </xf>
    <xf numFmtId="4" fontId="3" fillId="0" borderId="9" xfId="0" applyNumberFormat="1" applyFont="1" applyBorder="1"/>
    <xf numFmtId="4" fontId="15" fillId="0" borderId="9" xfId="0" applyNumberFormat="1" applyFont="1" applyBorder="1"/>
    <xf numFmtId="0" fontId="0" fillId="0" borderId="0" xfId="0" applyAlignment="1">
      <alignment horizontal="left" vertical="center"/>
    </xf>
    <xf numFmtId="0" fontId="2" fillId="0" borderId="0" xfId="0" applyFont="1" applyAlignment="1">
      <alignment horizontal="right" vertical="top"/>
    </xf>
    <xf numFmtId="0" fontId="0" fillId="0" borderId="0" xfId="0" applyAlignment="1">
      <alignment horizontal="left" vertical="center" wrapText="1"/>
    </xf>
    <xf numFmtId="9" fontId="0" fillId="0" borderId="9" xfId="1" applyFont="1" applyBorder="1"/>
    <xf numFmtId="0" fontId="0" fillId="0" borderId="0" xfId="0" applyAlignment="1">
      <alignment horizontal="left"/>
    </xf>
    <xf numFmtId="0" fontId="2" fillId="0" borderId="0" xfId="0" applyFont="1" applyAlignment="1">
      <alignment horizontal="right" vertical="top" wrapText="1"/>
    </xf>
    <xf numFmtId="0" fontId="2" fillId="0" borderId="0" xfId="0" applyFont="1" applyAlignment="1">
      <alignment horizontal="left"/>
    </xf>
    <xf numFmtId="0" fontId="0" fillId="0" borderId="0" xfId="0" quotePrefix="1"/>
    <xf numFmtId="0" fontId="2" fillId="0" borderId="0" xfId="0" applyFont="1" applyAlignment="1">
      <alignment horizontal="left" vertical="center"/>
    </xf>
    <xf numFmtId="4" fontId="0" fillId="0" borderId="0" xfId="0" applyNumberFormat="1" applyAlignment="1">
      <alignment wrapText="1"/>
    </xf>
    <xf numFmtId="10" fontId="0" fillId="0" borderId="0" xfId="0" applyNumberFormat="1" applyAlignment="1">
      <alignment wrapText="1"/>
    </xf>
    <xf numFmtId="0" fontId="2" fillId="0" borderId="0" xfId="0" applyFont="1" applyAlignment="1">
      <alignment horizontal="right" vertical="center" wrapText="1"/>
    </xf>
    <xf numFmtId="0" fontId="0" fillId="0" borderId="32" xfId="0" applyBorder="1" applyAlignment="1">
      <alignment wrapText="1"/>
    </xf>
    <xf numFmtId="0" fontId="0" fillId="0" borderId="32" xfId="0" applyBorder="1" applyAlignment="1">
      <alignment horizontal="center" vertical="center"/>
    </xf>
    <xf numFmtId="0" fontId="0" fillId="0" borderId="32" xfId="0" applyBorder="1" applyAlignment="1">
      <alignment horizontal="center" vertical="center" wrapText="1"/>
    </xf>
    <xf numFmtId="0" fontId="17" fillId="0" borderId="0" xfId="0" applyFont="1"/>
    <xf numFmtId="0" fontId="0" fillId="0" borderId="0" xfId="0" applyAlignment="1">
      <alignment horizontal="left" vertical="top"/>
    </xf>
    <xf numFmtId="0" fontId="0" fillId="0" borderId="0" xfId="0" applyAlignment="1">
      <alignment vertical="center"/>
    </xf>
    <xf numFmtId="0" fontId="2" fillId="0" borderId="0" xfId="0" applyFont="1" applyAlignment="1">
      <alignment horizontal="right"/>
    </xf>
    <xf numFmtId="0" fontId="2" fillId="0" borderId="0" xfId="0" applyFont="1" applyAlignment="1">
      <alignment vertical="top"/>
    </xf>
    <xf numFmtId="0" fontId="0" fillId="0" borderId="0" xfId="0" applyAlignment="1">
      <alignment horizontal="left" vertical="center" indent="4"/>
    </xf>
    <xf numFmtId="0" fontId="2" fillId="0" borderId="6" xfId="0" applyFont="1" applyBorder="1"/>
    <xf numFmtId="0" fontId="0" fillId="7" borderId="1" xfId="0" applyFill="1" applyBorder="1" applyAlignment="1">
      <alignment horizontal="left" vertical="top"/>
    </xf>
    <xf numFmtId="3" fontId="0" fillId="2" borderId="1" xfId="0" applyNumberFormat="1" applyFill="1" applyBorder="1" applyAlignment="1">
      <alignment horizontal="left" vertical="top"/>
    </xf>
    <xf numFmtId="9" fontId="0" fillId="0" borderId="0" xfId="1" applyFont="1" applyBorder="1" applyAlignment="1">
      <alignment vertical="top" wrapText="1"/>
    </xf>
    <xf numFmtId="0" fontId="0" fillId="0" borderId="0" xfId="0" applyAlignment="1">
      <alignment vertical="top" wrapText="1"/>
    </xf>
    <xf numFmtId="3" fontId="0" fillId="7" borderId="22" xfId="0" applyNumberFormat="1" applyFill="1" applyBorder="1"/>
    <xf numFmtId="3" fontId="0" fillId="7" borderId="42" xfId="0" applyNumberFormat="1" applyFill="1" applyBorder="1"/>
    <xf numFmtId="3" fontId="0" fillId="7" borderId="15" xfId="0" applyNumberFormat="1" applyFill="1" applyBorder="1"/>
    <xf numFmtId="3" fontId="0" fillId="7" borderId="40" xfId="0" applyNumberFormat="1" applyFill="1" applyBorder="1"/>
    <xf numFmtId="3" fontId="0" fillId="7" borderId="31" xfId="0" applyNumberFormat="1" applyFill="1" applyBorder="1"/>
    <xf numFmtId="3" fontId="0" fillId="7" borderId="41" xfId="0" applyNumberFormat="1" applyFill="1" applyBorder="1"/>
    <xf numFmtId="0" fontId="0" fillId="0" borderId="0" xfId="0" applyAlignment="1">
      <alignment horizontal="left" vertical="top" wrapText="1"/>
    </xf>
    <xf numFmtId="0" fontId="3" fillId="8" borderId="2" xfId="0" applyFont="1" applyFill="1" applyBorder="1" applyAlignment="1">
      <alignment horizontal="center" vertical="center"/>
    </xf>
    <xf numFmtId="0" fontId="3" fillId="8" borderId="3" xfId="0" applyFont="1" applyFill="1" applyBorder="1" applyAlignment="1">
      <alignment horizontal="center" vertical="center"/>
    </xf>
    <xf numFmtId="0" fontId="3" fillId="8" borderId="4" xfId="0" applyFont="1" applyFill="1" applyBorder="1" applyAlignment="1">
      <alignment horizontal="center" vertical="center"/>
    </xf>
    <xf numFmtId="0" fontId="0" fillId="0" borderId="8" xfId="0" applyBorder="1" applyAlignment="1">
      <alignment horizontal="left" vertical="center" wrapText="1"/>
    </xf>
    <xf numFmtId="0" fontId="0" fillId="0" borderId="0" xfId="0" applyAlignment="1">
      <alignment horizontal="left" vertical="center" wrapText="1"/>
    </xf>
    <xf numFmtId="0" fontId="0" fillId="0" borderId="9" xfId="0" applyBorder="1" applyAlignment="1">
      <alignment horizontal="left" vertical="center" wrapText="1"/>
    </xf>
    <xf numFmtId="0" fontId="3" fillId="8" borderId="0" xfId="0" applyFont="1" applyFill="1" applyAlignment="1">
      <alignment horizontal="center" vertical="center"/>
    </xf>
    <xf numFmtId="0" fontId="0" fillId="2" borderId="5" xfId="0" applyFill="1" applyBorder="1" applyAlignment="1">
      <alignment horizontal="left" vertical="top" wrapText="1"/>
    </xf>
    <xf numFmtId="0" fontId="0" fillId="2" borderId="6" xfId="0" applyFill="1" applyBorder="1" applyAlignment="1">
      <alignment horizontal="left" vertical="top" wrapText="1"/>
    </xf>
    <xf numFmtId="0" fontId="0" fillId="2" borderId="7" xfId="0" applyFill="1" applyBorder="1" applyAlignment="1">
      <alignment horizontal="left" vertical="top" wrapText="1"/>
    </xf>
    <xf numFmtId="0" fontId="0" fillId="2" borderId="8" xfId="0" applyFill="1" applyBorder="1" applyAlignment="1">
      <alignment horizontal="left" vertical="top" wrapText="1"/>
    </xf>
    <xf numFmtId="0" fontId="0" fillId="2" borderId="0" xfId="0" applyFill="1" applyAlignment="1">
      <alignment horizontal="left" vertical="top" wrapText="1"/>
    </xf>
    <xf numFmtId="0" fontId="0" fillId="2" borderId="9" xfId="0" applyFill="1" applyBorder="1" applyAlignment="1">
      <alignment horizontal="left" vertical="top" wrapText="1"/>
    </xf>
    <xf numFmtId="0" fontId="0" fillId="2" borderId="18" xfId="0" applyFill="1" applyBorder="1" applyAlignment="1">
      <alignment horizontal="left" vertical="top" wrapText="1"/>
    </xf>
    <xf numFmtId="0" fontId="0" fillId="2" borderId="32" xfId="0" applyFill="1" applyBorder="1" applyAlignment="1">
      <alignment horizontal="left" vertical="top" wrapText="1"/>
    </xf>
    <xf numFmtId="0" fontId="0" fillId="2" borderId="33" xfId="0" applyFill="1" applyBorder="1" applyAlignment="1">
      <alignment horizontal="left" vertical="top" wrapText="1"/>
    </xf>
    <xf numFmtId="0" fontId="0" fillId="2" borderId="0" xfId="0" applyFill="1" applyAlignment="1">
      <alignment horizontal="left" vertical="center"/>
    </xf>
    <xf numFmtId="0" fontId="11" fillId="8" borderId="5" xfId="0" applyFont="1" applyFill="1" applyBorder="1" applyAlignment="1">
      <alignment horizontal="center" vertical="center"/>
    </xf>
    <xf numFmtId="0" fontId="11" fillId="8" borderId="6" xfId="0" applyFont="1" applyFill="1" applyBorder="1" applyAlignment="1">
      <alignment horizontal="center" vertical="center"/>
    </xf>
    <xf numFmtId="0" fontId="11" fillId="8" borderId="7" xfId="0" applyFont="1" applyFill="1" applyBorder="1" applyAlignment="1">
      <alignment horizontal="center" vertical="center"/>
    </xf>
    <xf numFmtId="0" fontId="11" fillId="8" borderId="18" xfId="0" applyFont="1" applyFill="1" applyBorder="1" applyAlignment="1">
      <alignment horizontal="center" vertical="center"/>
    </xf>
    <xf numFmtId="0" fontId="11" fillId="8" borderId="32" xfId="0" applyFont="1" applyFill="1" applyBorder="1" applyAlignment="1">
      <alignment horizontal="center" vertical="center"/>
    </xf>
    <xf numFmtId="0" fontId="11" fillId="8" borderId="33" xfId="0" applyFont="1" applyFill="1" applyBorder="1" applyAlignment="1">
      <alignment horizontal="center" vertical="center"/>
    </xf>
    <xf numFmtId="0" fontId="0" fillId="9" borderId="2" xfId="0" applyFill="1" applyBorder="1" applyAlignment="1">
      <alignment horizontal="center" vertical="center"/>
    </xf>
    <xf numFmtId="0" fontId="0" fillId="9" borderId="4" xfId="0" applyFill="1" applyBorder="1" applyAlignment="1">
      <alignment horizontal="center" vertical="center"/>
    </xf>
    <xf numFmtId="0" fontId="0" fillId="2" borderId="5" xfId="0" applyFill="1" applyBorder="1" applyAlignment="1">
      <alignment horizontal="center" vertical="top"/>
    </xf>
    <xf numFmtId="0" fontId="0" fillId="2" borderId="6" xfId="0" applyFill="1" applyBorder="1" applyAlignment="1">
      <alignment horizontal="center" vertical="top"/>
    </xf>
    <xf numFmtId="0" fontId="0" fillId="2" borderId="7" xfId="0" applyFill="1" applyBorder="1" applyAlignment="1">
      <alignment horizontal="center" vertical="top"/>
    </xf>
    <xf numFmtId="0" fontId="0" fillId="2" borderId="8" xfId="0" applyFill="1" applyBorder="1" applyAlignment="1">
      <alignment horizontal="center" vertical="top"/>
    </xf>
    <xf numFmtId="0" fontId="0" fillId="2" borderId="0" xfId="0" applyFill="1" applyAlignment="1">
      <alignment horizontal="center" vertical="top"/>
    </xf>
    <xf numFmtId="0" fontId="0" fillId="2" borderId="9" xfId="0" applyFill="1" applyBorder="1" applyAlignment="1">
      <alignment horizontal="center" vertical="top"/>
    </xf>
    <xf numFmtId="0" fontId="0" fillId="2" borderId="18" xfId="0" applyFill="1" applyBorder="1" applyAlignment="1">
      <alignment horizontal="center" vertical="top"/>
    </xf>
    <xf numFmtId="0" fontId="0" fillId="2" borderId="32" xfId="0" applyFill="1" applyBorder="1" applyAlignment="1">
      <alignment horizontal="center" vertical="top"/>
    </xf>
    <xf numFmtId="0" fontId="0" fillId="2" borderId="33" xfId="0" applyFill="1" applyBorder="1" applyAlignment="1">
      <alignment horizontal="center" vertical="top"/>
    </xf>
    <xf numFmtId="0" fontId="0" fillId="3" borderId="2" xfId="0" applyFill="1" applyBorder="1" applyAlignment="1">
      <alignment horizontal="left" vertical="top" wrapText="1"/>
    </xf>
    <xf numFmtId="0" fontId="0" fillId="3" borderId="3" xfId="0" applyFill="1" applyBorder="1" applyAlignment="1">
      <alignment horizontal="left" vertical="top"/>
    </xf>
    <xf numFmtId="0" fontId="0" fillId="3" borderId="4" xfId="0" applyFill="1" applyBorder="1" applyAlignment="1">
      <alignment horizontal="left" vertical="top"/>
    </xf>
    <xf numFmtId="0" fontId="0" fillId="3" borderId="3" xfId="0" applyFill="1" applyBorder="1" applyAlignment="1">
      <alignment horizontal="left" vertical="top" wrapText="1"/>
    </xf>
    <xf numFmtId="0" fontId="0" fillId="3" borderId="4" xfId="0" applyFill="1" applyBorder="1" applyAlignment="1">
      <alignment horizontal="left" vertical="top" wrapText="1"/>
    </xf>
    <xf numFmtId="0" fontId="0" fillId="0" borderId="32" xfId="0" applyBorder="1" applyAlignment="1">
      <alignment horizontal="left" vertical="top" wrapText="1"/>
    </xf>
    <xf numFmtId="0" fontId="4" fillId="8" borderId="2" xfId="0" applyFont="1" applyFill="1" applyBorder="1" applyAlignment="1">
      <alignment horizontal="center" vertical="center"/>
    </xf>
    <xf numFmtId="0" fontId="4" fillId="8" borderId="3" xfId="0" applyFont="1" applyFill="1" applyBorder="1" applyAlignment="1">
      <alignment horizontal="center" vertical="center"/>
    </xf>
    <xf numFmtId="0" fontId="4" fillId="8" borderId="4" xfId="0" applyFont="1" applyFill="1" applyBorder="1" applyAlignment="1">
      <alignment horizontal="center" vertical="center"/>
    </xf>
    <xf numFmtId="0" fontId="0" fillId="0" borderId="6" xfId="0" quotePrefix="1" applyBorder="1" applyAlignment="1">
      <alignment horizontal="left" vertical="center" wrapText="1"/>
    </xf>
    <xf numFmtId="0" fontId="0" fillId="0" borderId="0" xfId="0" quotePrefix="1" applyAlignment="1">
      <alignment horizontal="left" vertical="top" wrapText="1"/>
    </xf>
    <xf numFmtId="0" fontId="0" fillId="0" borderId="9" xfId="0" quotePrefix="1" applyBorder="1" applyAlignment="1">
      <alignment horizontal="left" vertical="top" wrapText="1"/>
    </xf>
    <xf numFmtId="0" fontId="3" fillId="8" borderId="10" xfId="0" applyFont="1" applyFill="1" applyBorder="1" applyAlignment="1">
      <alignment horizontal="center" vertical="center" wrapText="1"/>
    </xf>
    <xf numFmtId="0" fontId="3" fillId="8" borderId="12" xfId="0" applyFont="1" applyFill="1" applyBorder="1" applyAlignment="1">
      <alignment horizontal="center" vertical="center" wrapText="1"/>
    </xf>
    <xf numFmtId="0" fontId="3" fillId="8" borderId="5" xfId="0" applyFont="1" applyFill="1" applyBorder="1" applyAlignment="1">
      <alignment horizontal="center" vertical="center"/>
    </xf>
    <xf numFmtId="0" fontId="3" fillId="8" borderId="6" xfId="0" applyFont="1" applyFill="1" applyBorder="1" applyAlignment="1">
      <alignment horizontal="center" vertical="center"/>
    </xf>
    <xf numFmtId="0" fontId="3" fillId="8" borderId="7" xfId="0" applyFont="1" applyFill="1" applyBorder="1" applyAlignment="1">
      <alignment horizontal="center" vertical="center"/>
    </xf>
    <xf numFmtId="0" fontId="8" fillId="8" borderId="5" xfId="0" applyFont="1" applyFill="1" applyBorder="1" applyAlignment="1">
      <alignment horizontal="center" vertical="center"/>
    </xf>
    <xf numFmtId="0" fontId="8" fillId="8" borderId="6" xfId="0" applyFont="1" applyFill="1" applyBorder="1" applyAlignment="1">
      <alignment horizontal="center" vertical="center"/>
    </xf>
    <xf numFmtId="0" fontId="8" fillId="8" borderId="7" xfId="0" applyFont="1" applyFill="1" applyBorder="1" applyAlignment="1">
      <alignment horizontal="center" vertical="center"/>
    </xf>
    <xf numFmtId="0" fontId="8" fillId="8" borderId="18" xfId="0" applyFont="1" applyFill="1" applyBorder="1" applyAlignment="1">
      <alignment horizontal="center" vertical="center"/>
    </xf>
    <xf numFmtId="0" fontId="8" fillId="8" borderId="32" xfId="0" applyFont="1" applyFill="1" applyBorder="1" applyAlignment="1">
      <alignment horizontal="center" vertical="center"/>
    </xf>
    <xf numFmtId="0" fontId="8" fillId="8" borderId="33" xfId="0" applyFont="1" applyFill="1" applyBorder="1" applyAlignment="1">
      <alignment horizontal="center" vertical="center"/>
    </xf>
    <xf numFmtId="0" fontId="0" fillId="0" borderId="8" xfId="0" applyBorder="1" applyAlignment="1">
      <alignment horizontal="left" wrapText="1"/>
    </xf>
    <xf numFmtId="0" fontId="0" fillId="0" borderId="0" xfId="0" applyAlignment="1">
      <alignment horizontal="left" wrapText="1"/>
    </xf>
    <xf numFmtId="0" fontId="3" fillId="8" borderId="2"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8" borderId="4" xfId="0" applyFont="1" applyFill="1" applyBorder="1" applyAlignment="1">
      <alignment horizontal="center" vertical="center" wrapText="1"/>
    </xf>
    <xf numFmtId="9" fontId="0" fillId="0" borderId="0" xfId="1" applyFont="1" applyBorder="1" applyAlignment="1">
      <alignment horizontal="left" vertical="center" wrapText="1"/>
    </xf>
    <xf numFmtId="0" fontId="4" fillId="8" borderId="19" xfId="0" applyFont="1" applyFill="1" applyBorder="1" applyAlignment="1">
      <alignment horizontal="center" vertical="center"/>
    </xf>
    <xf numFmtId="0" fontId="4" fillId="8" borderId="16" xfId="0" applyFont="1" applyFill="1" applyBorder="1" applyAlignment="1">
      <alignment horizontal="center" vertical="center"/>
    </xf>
    <xf numFmtId="0" fontId="4" fillId="8" borderId="34" xfId="0" applyFont="1" applyFill="1" applyBorder="1" applyAlignment="1">
      <alignment horizontal="center" vertical="center"/>
    </xf>
    <xf numFmtId="0" fontId="4" fillId="8" borderId="19" xfId="0" applyFont="1" applyFill="1" applyBorder="1" applyAlignment="1">
      <alignment horizontal="center" vertical="center" wrapText="1"/>
    </xf>
    <xf numFmtId="0" fontId="4" fillId="8" borderId="16" xfId="0" applyFont="1" applyFill="1" applyBorder="1" applyAlignment="1">
      <alignment horizontal="center" vertical="center" wrapText="1"/>
    </xf>
    <xf numFmtId="0" fontId="4" fillId="8" borderId="34" xfId="0" applyFont="1" applyFill="1" applyBorder="1" applyAlignment="1">
      <alignment horizontal="center" vertical="center" wrapText="1"/>
    </xf>
    <xf numFmtId="4" fontId="4" fillId="8" borderId="2" xfId="0" applyNumberFormat="1" applyFont="1" applyFill="1" applyBorder="1" applyAlignment="1">
      <alignment horizontal="center" vertical="center" wrapText="1"/>
    </xf>
    <xf numFmtId="4" fontId="4" fillId="8" borderId="3" xfId="0" applyNumberFormat="1" applyFont="1" applyFill="1" applyBorder="1" applyAlignment="1">
      <alignment horizontal="center" vertical="center" wrapText="1"/>
    </xf>
    <xf numFmtId="4" fontId="4" fillId="8" borderId="4" xfId="0" applyNumberFormat="1" applyFont="1" applyFill="1" applyBorder="1" applyAlignment="1">
      <alignment horizontal="center" vertical="center" wrapText="1"/>
    </xf>
    <xf numFmtId="4" fontId="4" fillId="8" borderId="2" xfId="0" applyNumberFormat="1" applyFont="1" applyFill="1" applyBorder="1" applyAlignment="1">
      <alignment horizontal="center" vertical="center"/>
    </xf>
    <xf numFmtId="4" fontId="4" fillId="8" borderId="3" xfId="0" applyNumberFormat="1" applyFont="1" applyFill="1" applyBorder="1" applyAlignment="1">
      <alignment horizontal="center" vertical="center"/>
    </xf>
    <xf numFmtId="4" fontId="4" fillId="8" borderId="4" xfId="0" applyNumberFormat="1" applyFont="1" applyFill="1" applyBorder="1" applyAlignment="1">
      <alignment horizontal="center" vertical="center"/>
    </xf>
    <xf numFmtId="4" fontId="3" fillId="8" borderId="2" xfId="0" applyNumberFormat="1" applyFont="1" applyFill="1" applyBorder="1" applyAlignment="1">
      <alignment horizontal="center" vertical="center" wrapText="1"/>
    </xf>
    <xf numFmtId="4" fontId="3" fillId="8" borderId="3" xfId="0" applyNumberFormat="1" applyFont="1" applyFill="1" applyBorder="1" applyAlignment="1">
      <alignment horizontal="center" vertical="center" wrapText="1"/>
    </xf>
    <xf numFmtId="4" fontId="3" fillId="8" borderId="4" xfId="0" applyNumberFormat="1" applyFont="1" applyFill="1" applyBorder="1" applyAlignment="1">
      <alignment horizontal="center" vertical="center" wrapText="1"/>
    </xf>
    <xf numFmtId="4" fontId="3" fillId="8" borderId="2" xfId="0" applyNumberFormat="1" applyFont="1" applyFill="1" applyBorder="1" applyAlignment="1">
      <alignment horizontal="center" vertical="center"/>
    </xf>
    <xf numFmtId="4" fontId="3" fillId="8" borderId="3" xfId="0" applyNumberFormat="1" applyFont="1" applyFill="1" applyBorder="1" applyAlignment="1">
      <alignment horizontal="center" vertical="center"/>
    </xf>
    <xf numFmtId="4" fontId="3" fillId="8" borderId="4" xfId="0" applyNumberFormat="1" applyFont="1" applyFill="1" applyBorder="1" applyAlignment="1">
      <alignment horizontal="center" vertical="center"/>
    </xf>
    <xf numFmtId="0" fontId="0" fillId="0" borderId="42" xfId="0" applyBorder="1" applyAlignment="1">
      <alignment horizontal="center" vertical="center"/>
    </xf>
    <xf numFmtId="0" fontId="0" fillId="0" borderId="40" xfId="0" applyBorder="1" applyAlignment="1">
      <alignment horizontal="center" vertical="center"/>
    </xf>
    <xf numFmtId="0" fontId="0" fillId="0" borderId="44" xfId="0" applyBorder="1" applyAlignment="1">
      <alignment horizontal="center" vertical="center"/>
    </xf>
    <xf numFmtId="0" fontId="4" fillId="8" borderId="2"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8" fillId="8" borderId="2"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4" xfId="0" applyFont="1" applyFill="1" applyBorder="1" applyAlignment="1">
      <alignment horizontal="center" vertical="center"/>
    </xf>
    <xf numFmtId="0" fontId="0" fillId="0" borderId="0" xfId="0" applyAlignment="1">
      <alignment horizontal="center" vertical="center"/>
    </xf>
    <xf numFmtId="0" fontId="0" fillId="0" borderId="9" xfId="0" applyBorder="1" applyAlignment="1">
      <alignment horizontal="center" vertical="center"/>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4" fontId="0" fillId="0" borderId="5" xfId="0" applyNumberFormat="1" applyBorder="1" applyAlignment="1">
      <alignment horizontal="center" vertical="center" wrapText="1"/>
    </xf>
    <xf numFmtId="4" fontId="0" fillId="0" borderId="6" xfId="0" applyNumberFormat="1" applyBorder="1" applyAlignment="1">
      <alignment horizontal="center" vertical="center" wrapText="1"/>
    </xf>
    <xf numFmtId="4" fontId="0" fillId="0" borderId="7"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0" xfId="0" applyNumberFormat="1" applyAlignment="1">
      <alignment horizontal="center" vertical="center" wrapText="1"/>
    </xf>
    <xf numFmtId="4" fontId="0" fillId="0" borderId="9" xfId="0" applyNumberFormat="1" applyBorder="1" applyAlignment="1">
      <alignment horizontal="center" vertical="center" wrapText="1"/>
    </xf>
    <xf numFmtId="4" fontId="0" fillId="0" borderId="18" xfId="0" applyNumberFormat="1" applyBorder="1" applyAlignment="1">
      <alignment horizontal="center" vertical="center" wrapText="1"/>
    </xf>
    <xf numFmtId="4" fontId="0" fillId="0" borderId="32" xfId="0" applyNumberFormat="1" applyBorder="1" applyAlignment="1">
      <alignment horizontal="center" vertical="center" wrapText="1"/>
    </xf>
    <xf numFmtId="4" fontId="0" fillId="0" borderId="33" xfId="0" applyNumberFormat="1" applyBorder="1" applyAlignment="1">
      <alignment horizontal="center" vertical="center" wrapText="1"/>
    </xf>
    <xf numFmtId="0" fontId="16" fillId="8" borderId="5" xfId="0" applyFont="1" applyFill="1" applyBorder="1" applyAlignment="1">
      <alignment horizontal="center" vertical="center"/>
    </xf>
    <xf numFmtId="0" fontId="16" fillId="8" borderId="6" xfId="0" applyFont="1" applyFill="1" applyBorder="1" applyAlignment="1">
      <alignment horizontal="center" vertical="center"/>
    </xf>
    <xf numFmtId="0" fontId="16" fillId="8" borderId="7" xfId="0" applyFont="1" applyFill="1" applyBorder="1" applyAlignment="1">
      <alignment horizontal="center" vertical="center"/>
    </xf>
    <xf numFmtId="0" fontId="16" fillId="8" borderId="8" xfId="0" applyFont="1" applyFill="1" applyBorder="1" applyAlignment="1">
      <alignment horizontal="center" vertical="center"/>
    </xf>
    <xf numFmtId="0" fontId="16" fillId="8" borderId="0" xfId="0" applyFont="1" applyFill="1" applyAlignment="1">
      <alignment horizontal="center" vertical="center"/>
    </xf>
    <xf numFmtId="0" fontId="16" fillId="8" borderId="9" xfId="0" applyFont="1" applyFill="1" applyBorder="1" applyAlignment="1">
      <alignment horizontal="center" vertical="center"/>
    </xf>
    <xf numFmtId="0" fontId="16" fillId="8" borderId="18" xfId="0" applyFont="1" applyFill="1" applyBorder="1" applyAlignment="1">
      <alignment horizontal="center" vertical="center"/>
    </xf>
    <xf numFmtId="0" fontId="16" fillId="8" borderId="32" xfId="0" applyFont="1" applyFill="1" applyBorder="1" applyAlignment="1">
      <alignment horizontal="center" vertical="center"/>
    </xf>
    <xf numFmtId="0" fontId="16" fillId="8" borderId="33" xfId="0" applyFont="1" applyFill="1" applyBorder="1" applyAlignment="1">
      <alignment horizontal="center" vertical="center"/>
    </xf>
    <xf numFmtId="0" fontId="5" fillId="0" borderId="19" xfId="0" applyFont="1" applyBorder="1" applyAlignment="1">
      <alignment horizontal="center" vertical="center"/>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7" fillId="8" borderId="34" xfId="0" applyFont="1" applyFill="1" applyBorder="1" applyAlignment="1">
      <alignment horizontal="center" vertical="center"/>
    </xf>
    <xf numFmtId="0" fontId="7" fillId="8" borderId="35" xfId="0" applyFont="1" applyFill="1" applyBorder="1" applyAlignment="1">
      <alignment horizontal="center" vertical="center"/>
    </xf>
    <xf numFmtId="3" fontId="2" fillId="0" borderId="6" xfId="0" quotePrefix="1" applyNumberFormat="1" applyFont="1" applyBorder="1" applyAlignment="1">
      <alignment horizontal="left" vertical="top" wrapText="1"/>
    </xf>
    <xf numFmtId="3" fontId="3" fillId="8" borderId="2" xfId="0" applyNumberFormat="1" applyFont="1" applyFill="1" applyBorder="1" applyAlignment="1">
      <alignment horizontal="center"/>
    </xf>
    <xf numFmtId="3" fontId="3" fillId="8" borderId="3" xfId="0" applyNumberFormat="1" applyFont="1" applyFill="1" applyBorder="1" applyAlignment="1">
      <alignment horizontal="center"/>
    </xf>
    <xf numFmtId="3" fontId="3" fillId="8" borderId="4" xfId="0" applyNumberFormat="1" applyFont="1" applyFill="1" applyBorder="1" applyAlignment="1">
      <alignment horizontal="center"/>
    </xf>
    <xf numFmtId="3" fontId="2" fillId="7" borderId="2" xfId="0" applyNumberFormat="1" applyFont="1" applyFill="1" applyBorder="1" applyAlignment="1">
      <alignment horizontal="left"/>
    </xf>
    <xf numFmtId="3" fontId="2" fillId="7" borderId="3" xfId="0" applyNumberFormat="1" applyFont="1" applyFill="1" applyBorder="1" applyAlignment="1">
      <alignment horizontal="left"/>
    </xf>
    <xf numFmtId="3" fontId="2" fillId="7" borderId="4" xfId="0" applyNumberFormat="1" applyFont="1" applyFill="1" applyBorder="1" applyAlignment="1">
      <alignment horizontal="left"/>
    </xf>
  </cellXfs>
  <cellStyles count="2">
    <cellStyle name="Normal" xfId="0" builtinId="0"/>
    <cellStyle name="Pourcentag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23</xdr:col>
      <xdr:colOff>571500</xdr:colOff>
      <xdr:row>4</xdr:row>
      <xdr:rowOff>114300</xdr:rowOff>
    </xdr:from>
    <xdr:to>
      <xdr:col>35</xdr:col>
      <xdr:colOff>22422</xdr:colOff>
      <xdr:row>21</xdr:row>
      <xdr:rowOff>757767</xdr:rowOff>
    </xdr:to>
    <xdr:pic>
      <xdr:nvPicPr>
        <xdr:cNvPr id="2" name="Image 1">
          <a:extLst>
            <a:ext uri="{FF2B5EF4-FFF2-40B4-BE49-F238E27FC236}">
              <a16:creationId xmlns:a16="http://schemas.microsoft.com/office/drawing/2014/main" id="{B77FB8FE-25E0-ABD2-7591-2EA23EB2D60A}"/>
            </a:ext>
          </a:extLst>
        </xdr:cNvPr>
        <xdr:cNvPicPr>
          <a:picLocks noChangeAspect="1"/>
        </xdr:cNvPicPr>
      </xdr:nvPicPr>
      <xdr:blipFill>
        <a:blip xmlns:r="http://schemas.openxmlformats.org/officeDocument/2006/relationships" r:embed="rId1"/>
        <a:stretch>
          <a:fillRect/>
        </a:stretch>
      </xdr:blipFill>
      <xdr:spPr>
        <a:xfrm>
          <a:off x="23736300" y="1905000"/>
          <a:ext cx="9356922" cy="41740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11004</xdr:colOff>
      <xdr:row>197</xdr:row>
      <xdr:rowOff>36196</xdr:rowOff>
    </xdr:from>
    <xdr:to>
      <xdr:col>7</xdr:col>
      <xdr:colOff>1447</xdr:colOff>
      <xdr:row>226</xdr:row>
      <xdr:rowOff>121265</xdr:rowOff>
    </xdr:to>
    <xdr:pic>
      <xdr:nvPicPr>
        <xdr:cNvPr id="5" name="Image 4">
          <a:extLst>
            <a:ext uri="{FF2B5EF4-FFF2-40B4-BE49-F238E27FC236}">
              <a16:creationId xmlns:a16="http://schemas.microsoft.com/office/drawing/2014/main" id="{34AEDCEB-E9F8-D84E-80AD-6373B91E4A78}"/>
            </a:ext>
          </a:extLst>
        </xdr:cNvPr>
        <xdr:cNvPicPr>
          <a:picLocks noChangeAspect="1"/>
        </xdr:cNvPicPr>
      </xdr:nvPicPr>
      <xdr:blipFill>
        <a:blip xmlns:r="http://schemas.openxmlformats.org/officeDocument/2006/relationships" r:embed="rId1"/>
        <a:stretch>
          <a:fillRect/>
        </a:stretch>
      </xdr:blipFill>
      <xdr:spPr>
        <a:xfrm>
          <a:off x="840737" y="22777663"/>
          <a:ext cx="9437796" cy="5977869"/>
        </a:xfrm>
        <a:prstGeom prst="rect">
          <a:avLst/>
        </a:prstGeom>
      </xdr:spPr>
    </xdr:pic>
    <xdr:clientData/>
  </xdr:twoCellAnchor>
  <xdr:twoCellAnchor>
    <xdr:from>
      <xdr:col>3</xdr:col>
      <xdr:colOff>84667</xdr:colOff>
      <xdr:row>18</xdr:row>
      <xdr:rowOff>0</xdr:rowOff>
    </xdr:from>
    <xdr:to>
      <xdr:col>3</xdr:col>
      <xdr:colOff>812800</xdr:colOff>
      <xdr:row>22</xdr:row>
      <xdr:rowOff>0</xdr:rowOff>
    </xdr:to>
    <xdr:sp macro="" textlink="">
      <xdr:nvSpPr>
        <xdr:cNvPr id="7" name="Accolade fermante 6">
          <a:extLst>
            <a:ext uri="{FF2B5EF4-FFF2-40B4-BE49-F238E27FC236}">
              <a16:creationId xmlns:a16="http://schemas.microsoft.com/office/drawing/2014/main" id="{17B0C1FA-3052-4179-BE4D-CBD99D74C92F}"/>
            </a:ext>
          </a:extLst>
        </xdr:cNvPr>
        <xdr:cNvSpPr/>
      </xdr:nvSpPr>
      <xdr:spPr>
        <a:xfrm>
          <a:off x="5012267" y="1710267"/>
          <a:ext cx="728133" cy="914400"/>
        </a:xfrm>
        <a:prstGeom prst="rightBrace">
          <a:avLst/>
        </a:prstGeom>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lang="fr-FR" sz="1100"/>
        </a:p>
      </xdr:txBody>
    </xdr:sp>
    <xdr:clientData/>
  </xdr:twoCellAnchor>
  <xdr:twoCellAnchor>
    <xdr:from>
      <xdr:col>4</xdr:col>
      <xdr:colOff>10160</xdr:colOff>
      <xdr:row>16</xdr:row>
      <xdr:rowOff>60960</xdr:rowOff>
    </xdr:from>
    <xdr:to>
      <xdr:col>5</xdr:col>
      <xdr:colOff>812800</xdr:colOff>
      <xdr:row>17</xdr:row>
      <xdr:rowOff>121920</xdr:rowOff>
    </xdr:to>
    <xdr:sp macro="" textlink="">
      <xdr:nvSpPr>
        <xdr:cNvPr id="8" name="Accolade fermante 7">
          <a:extLst>
            <a:ext uri="{FF2B5EF4-FFF2-40B4-BE49-F238E27FC236}">
              <a16:creationId xmlns:a16="http://schemas.microsoft.com/office/drawing/2014/main" id="{9B8DF57D-3FFC-3742-8FB7-0BF8109A812E}"/>
            </a:ext>
          </a:extLst>
        </xdr:cNvPr>
        <xdr:cNvSpPr/>
      </xdr:nvSpPr>
      <xdr:spPr>
        <a:xfrm rot="5400000">
          <a:off x="6675120" y="660400"/>
          <a:ext cx="264160" cy="1625600"/>
        </a:xfrm>
        <a:prstGeom prst="rightBrace">
          <a:avLst/>
        </a:prstGeom>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lang="fr-FR" sz="1100"/>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7D6A0-13F2-C045-8714-04BA632AD05A}">
  <dimension ref="A1:L23"/>
  <sheetViews>
    <sheetView view="pageBreakPreview" topLeftCell="A10" zoomScale="119" zoomScaleNormal="84" workbookViewId="0">
      <selection activeCell="G32" sqref="G32"/>
    </sheetView>
  </sheetViews>
  <sheetFormatPr baseColWidth="10" defaultRowHeight="16" x14ac:dyDescent="0.2"/>
  <sheetData>
    <row r="1" spans="1:12" ht="17" thickBot="1" x14ac:dyDescent="0.25">
      <c r="A1" s="64"/>
      <c r="B1" s="65"/>
      <c r="C1" s="65"/>
      <c r="D1" s="65"/>
      <c r="E1" s="65"/>
      <c r="F1" s="65"/>
      <c r="G1" s="65"/>
      <c r="H1" s="65"/>
      <c r="I1" s="65"/>
      <c r="J1" s="65"/>
      <c r="K1" s="65"/>
      <c r="L1" s="66"/>
    </row>
    <row r="2" spans="1:12" ht="40" customHeight="1" thickBot="1" x14ac:dyDescent="0.25">
      <c r="A2" s="67"/>
      <c r="B2" s="271" t="s">
        <v>415</v>
      </c>
      <c r="C2" s="272"/>
      <c r="D2" s="272"/>
      <c r="E2" s="272"/>
      <c r="F2" s="272"/>
      <c r="G2" s="272"/>
      <c r="H2" s="272"/>
      <c r="I2" s="272"/>
      <c r="J2" s="272"/>
      <c r="K2" s="273"/>
      <c r="L2" s="72"/>
    </row>
    <row r="3" spans="1:12" x14ac:dyDescent="0.2">
      <c r="A3" s="69"/>
      <c r="B3" s="63"/>
      <c r="C3" s="63"/>
      <c r="D3" s="63"/>
      <c r="E3" s="63"/>
      <c r="F3" s="63"/>
      <c r="G3" s="63"/>
      <c r="H3" s="63"/>
      <c r="I3" s="63"/>
      <c r="J3" s="63"/>
      <c r="L3" s="72"/>
    </row>
    <row r="4" spans="1:12" ht="44" customHeight="1" x14ac:dyDescent="0.2">
      <c r="A4" s="71"/>
      <c r="C4" s="257" t="s">
        <v>403</v>
      </c>
      <c r="D4" s="270" t="s">
        <v>433</v>
      </c>
      <c r="E4" s="270"/>
      <c r="F4" s="270"/>
      <c r="G4" s="270"/>
      <c r="H4" s="270"/>
      <c r="I4" s="270"/>
      <c r="J4" s="270"/>
      <c r="L4" s="72"/>
    </row>
    <row r="5" spans="1:12" ht="5" customHeight="1" x14ac:dyDescent="0.2">
      <c r="A5" s="71"/>
      <c r="C5" s="258"/>
      <c r="L5" s="72"/>
    </row>
    <row r="6" spans="1:12" ht="139" customHeight="1" x14ac:dyDescent="0.2">
      <c r="A6" s="71"/>
      <c r="C6" s="257" t="s">
        <v>404</v>
      </c>
      <c r="D6" s="270" t="s">
        <v>500</v>
      </c>
      <c r="E6" s="270"/>
      <c r="F6" s="270"/>
      <c r="G6" s="270"/>
      <c r="H6" s="270"/>
      <c r="I6" s="270"/>
      <c r="J6" s="270"/>
      <c r="L6" s="72"/>
    </row>
    <row r="7" spans="1:12" ht="5" customHeight="1" x14ac:dyDescent="0.2">
      <c r="A7" s="71"/>
      <c r="L7" s="72"/>
    </row>
    <row r="8" spans="1:12" ht="223" customHeight="1" x14ac:dyDescent="0.2">
      <c r="A8" s="71"/>
      <c r="C8" s="257" t="s">
        <v>405</v>
      </c>
      <c r="D8" s="270" t="s">
        <v>434</v>
      </c>
      <c r="E8" s="270"/>
      <c r="F8" s="270"/>
      <c r="G8" s="270"/>
      <c r="H8" s="270"/>
      <c r="I8" s="270"/>
      <c r="J8" s="270"/>
      <c r="L8" s="72"/>
    </row>
    <row r="9" spans="1:12" ht="5" customHeight="1" x14ac:dyDescent="0.2">
      <c r="A9" s="71"/>
      <c r="L9" s="72"/>
    </row>
    <row r="10" spans="1:12" ht="193" customHeight="1" x14ac:dyDescent="0.2">
      <c r="A10" s="71"/>
      <c r="C10" s="257" t="s">
        <v>406</v>
      </c>
      <c r="D10" s="270" t="s">
        <v>435</v>
      </c>
      <c r="E10" s="270"/>
      <c r="F10" s="270"/>
      <c r="G10" s="270"/>
      <c r="H10" s="270"/>
      <c r="I10" s="270"/>
      <c r="J10" s="270"/>
      <c r="L10" s="72"/>
    </row>
    <row r="11" spans="1:12" ht="5" customHeight="1" x14ac:dyDescent="0.2">
      <c r="A11" s="71"/>
      <c r="L11" s="72"/>
    </row>
    <row r="12" spans="1:12" ht="139" customHeight="1" x14ac:dyDescent="0.2">
      <c r="A12" s="71"/>
      <c r="C12" s="257" t="s">
        <v>418</v>
      </c>
      <c r="D12" s="270" t="s">
        <v>436</v>
      </c>
      <c r="E12" s="270"/>
      <c r="F12" s="270"/>
      <c r="G12" s="270"/>
      <c r="H12" s="270"/>
      <c r="I12" s="270"/>
      <c r="J12" s="270"/>
      <c r="L12" s="72"/>
    </row>
    <row r="13" spans="1:12" ht="5" customHeight="1" x14ac:dyDescent="0.2">
      <c r="A13" s="71"/>
      <c r="L13" s="72"/>
    </row>
    <row r="14" spans="1:12" ht="104" customHeight="1" x14ac:dyDescent="0.2">
      <c r="A14" s="71"/>
      <c r="C14" s="257" t="s">
        <v>419</v>
      </c>
      <c r="D14" s="270" t="s">
        <v>437</v>
      </c>
      <c r="E14" s="270"/>
      <c r="F14" s="270"/>
      <c r="G14" s="270"/>
      <c r="H14" s="270"/>
      <c r="I14" s="270"/>
      <c r="J14" s="270"/>
      <c r="L14" s="72"/>
    </row>
    <row r="15" spans="1:12" ht="5" customHeight="1" x14ac:dyDescent="0.2">
      <c r="A15" s="71"/>
      <c r="L15" s="72"/>
    </row>
    <row r="16" spans="1:12" ht="41" customHeight="1" x14ac:dyDescent="0.2">
      <c r="A16" s="71"/>
      <c r="C16" s="257" t="s">
        <v>428</v>
      </c>
      <c r="D16" s="270" t="s">
        <v>438</v>
      </c>
      <c r="E16" s="270"/>
      <c r="F16" s="270"/>
      <c r="G16" s="270"/>
      <c r="H16" s="270"/>
      <c r="I16" s="270"/>
      <c r="J16" s="270"/>
      <c r="L16" s="72"/>
    </row>
    <row r="17" spans="1:12" ht="5" customHeight="1" x14ac:dyDescent="0.2">
      <c r="A17" s="71"/>
      <c r="C17" s="257"/>
      <c r="L17" s="72"/>
    </row>
    <row r="18" spans="1:12" ht="188" customHeight="1" x14ac:dyDescent="0.2">
      <c r="A18" s="71"/>
      <c r="C18" s="257" t="s">
        <v>429</v>
      </c>
      <c r="D18" s="270" t="s">
        <v>512</v>
      </c>
      <c r="E18" s="270"/>
      <c r="F18" s="270"/>
      <c r="G18" s="270"/>
      <c r="H18" s="270"/>
      <c r="I18" s="270"/>
      <c r="J18" s="270"/>
      <c r="L18" s="72"/>
    </row>
    <row r="19" spans="1:12" ht="5" customHeight="1" x14ac:dyDescent="0.2">
      <c r="A19" s="71"/>
      <c r="L19" s="72"/>
    </row>
    <row r="20" spans="1:12" ht="40" customHeight="1" x14ac:dyDescent="0.2">
      <c r="A20" s="71"/>
      <c r="C20" s="257" t="s">
        <v>432</v>
      </c>
      <c r="D20" s="270" t="s">
        <v>439</v>
      </c>
      <c r="E20" s="270"/>
      <c r="F20" s="270"/>
      <c r="G20" s="270"/>
      <c r="H20" s="270"/>
      <c r="I20" s="270"/>
      <c r="J20" s="270"/>
      <c r="L20" s="72"/>
    </row>
    <row r="21" spans="1:12" ht="5" customHeight="1" x14ac:dyDescent="0.2">
      <c r="A21" s="71"/>
      <c r="L21" s="72"/>
    </row>
    <row r="22" spans="1:12" ht="39" customHeight="1" x14ac:dyDescent="0.2">
      <c r="A22" s="71"/>
      <c r="C22" s="257" t="s">
        <v>501</v>
      </c>
      <c r="D22" s="270" t="s">
        <v>440</v>
      </c>
      <c r="E22" s="270"/>
      <c r="F22" s="270"/>
      <c r="G22" s="270"/>
      <c r="H22" s="270"/>
      <c r="I22" s="270"/>
      <c r="J22" s="270"/>
      <c r="L22" s="72"/>
    </row>
    <row r="23" spans="1:12" ht="17" thickBot="1" x14ac:dyDescent="0.25">
      <c r="A23" s="78"/>
      <c r="B23" s="79"/>
      <c r="C23" s="79"/>
      <c r="D23" s="79"/>
      <c r="E23" s="79"/>
      <c r="F23" s="79"/>
      <c r="G23" s="79"/>
      <c r="H23" s="79"/>
      <c r="I23" s="79"/>
      <c r="J23" s="79"/>
      <c r="K23" s="79"/>
      <c r="L23" s="80"/>
    </row>
  </sheetData>
  <mergeCells count="11">
    <mergeCell ref="B2:K2"/>
    <mergeCell ref="D4:J4"/>
    <mergeCell ref="D6:J6"/>
    <mergeCell ref="D8:J8"/>
    <mergeCell ref="D10:J10"/>
    <mergeCell ref="D22:J22"/>
    <mergeCell ref="D12:J12"/>
    <mergeCell ref="D14:J14"/>
    <mergeCell ref="D16:J16"/>
    <mergeCell ref="D18:J18"/>
    <mergeCell ref="D20:J20"/>
  </mergeCells>
  <pageMargins left="0.7" right="0.7" top="0.75" bottom="0.75" header="0.3" footer="0.3"/>
  <pageSetup paperSize="9" scale="48" orientation="portrait" horizontalDpi="0" verticalDpi="0"/>
  <headerFooter scaleWithDoc="0">
    <oddHeader>&amp;L&amp;"Calibri,Normal"&amp;K000000&amp;F&amp;C&amp;"Calibri,Normal"&amp;K000000                                                   &amp;A&amp;R&amp;"Calibri,Normal"&amp;K000000&amp;P sur &amp;N</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DC60D-9616-5A49-ABE1-DEDDE2F884DA}">
  <dimension ref="A1:B193"/>
  <sheetViews>
    <sheetView workbookViewId="0">
      <selection activeCell="E22" sqref="E22"/>
    </sheetView>
  </sheetViews>
  <sheetFormatPr baseColWidth="10" defaultRowHeight="16" x14ac:dyDescent="0.2"/>
  <sheetData>
    <row r="1" spans="1:2" x14ac:dyDescent="0.2">
      <c r="A1" t="s">
        <v>131</v>
      </c>
      <c r="B1" t="s">
        <v>340</v>
      </c>
    </row>
    <row r="2" spans="1:2" x14ac:dyDescent="0.2">
      <c r="A2" t="s">
        <v>132</v>
      </c>
      <c r="B2" t="s">
        <v>339</v>
      </c>
    </row>
    <row r="3" spans="1:2" x14ac:dyDescent="0.2">
      <c r="B3" t="s">
        <v>338</v>
      </c>
    </row>
    <row r="4" spans="1:2" x14ac:dyDescent="0.2">
      <c r="B4" t="s">
        <v>337</v>
      </c>
    </row>
    <row r="5" spans="1:2" x14ac:dyDescent="0.2">
      <c r="B5" t="s">
        <v>336</v>
      </c>
    </row>
    <row r="6" spans="1:2" x14ac:dyDescent="0.2">
      <c r="B6" t="s">
        <v>335</v>
      </c>
    </row>
    <row r="7" spans="1:2" x14ac:dyDescent="0.2">
      <c r="B7" t="s">
        <v>334</v>
      </c>
    </row>
    <row r="8" spans="1:2" x14ac:dyDescent="0.2">
      <c r="B8" t="s">
        <v>333</v>
      </c>
    </row>
    <row r="9" spans="1:2" x14ac:dyDescent="0.2">
      <c r="B9" t="s">
        <v>332</v>
      </c>
    </row>
    <row r="10" spans="1:2" x14ac:dyDescent="0.2">
      <c r="B10" t="s">
        <v>331</v>
      </c>
    </row>
    <row r="11" spans="1:2" x14ac:dyDescent="0.2">
      <c r="B11" t="s">
        <v>330</v>
      </c>
    </row>
    <row r="12" spans="1:2" x14ac:dyDescent="0.2">
      <c r="B12" t="s">
        <v>329</v>
      </c>
    </row>
    <row r="13" spans="1:2" x14ac:dyDescent="0.2">
      <c r="B13" t="s">
        <v>328</v>
      </c>
    </row>
    <row r="14" spans="1:2" x14ac:dyDescent="0.2">
      <c r="B14" t="s">
        <v>327</v>
      </c>
    </row>
    <row r="15" spans="1:2" x14ac:dyDescent="0.2">
      <c r="B15" t="s">
        <v>326</v>
      </c>
    </row>
    <row r="16" spans="1:2" x14ac:dyDescent="0.2">
      <c r="B16" t="s">
        <v>325</v>
      </c>
    </row>
    <row r="17" spans="2:2" x14ac:dyDescent="0.2">
      <c r="B17" t="s">
        <v>324</v>
      </c>
    </row>
    <row r="18" spans="2:2" x14ac:dyDescent="0.2">
      <c r="B18" t="s">
        <v>323</v>
      </c>
    </row>
    <row r="19" spans="2:2" x14ac:dyDescent="0.2">
      <c r="B19" t="s">
        <v>322</v>
      </c>
    </row>
    <row r="20" spans="2:2" x14ac:dyDescent="0.2">
      <c r="B20" t="s">
        <v>321</v>
      </c>
    </row>
    <row r="21" spans="2:2" x14ac:dyDescent="0.2">
      <c r="B21" t="s">
        <v>309</v>
      </c>
    </row>
    <row r="22" spans="2:2" x14ac:dyDescent="0.2">
      <c r="B22" t="s">
        <v>320</v>
      </c>
    </row>
    <row r="23" spans="2:2" x14ac:dyDescent="0.2">
      <c r="B23" t="s">
        <v>318</v>
      </c>
    </row>
    <row r="24" spans="2:2" x14ac:dyDescent="0.2">
      <c r="B24" t="s">
        <v>319</v>
      </c>
    </row>
    <row r="25" spans="2:2" x14ac:dyDescent="0.2">
      <c r="B25" t="s">
        <v>317</v>
      </c>
    </row>
    <row r="26" spans="2:2" x14ac:dyDescent="0.2">
      <c r="B26" t="s">
        <v>316</v>
      </c>
    </row>
    <row r="27" spans="2:2" x14ac:dyDescent="0.2">
      <c r="B27" t="s">
        <v>315</v>
      </c>
    </row>
    <row r="28" spans="2:2" x14ac:dyDescent="0.2">
      <c r="B28" t="s">
        <v>313</v>
      </c>
    </row>
    <row r="29" spans="2:2" x14ac:dyDescent="0.2">
      <c r="B29" t="s">
        <v>314</v>
      </c>
    </row>
    <row r="30" spans="2:2" x14ac:dyDescent="0.2">
      <c r="B30" t="s">
        <v>312</v>
      </c>
    </row>
    <row r="31" spans="2:2" x14ac:dyDescent="0.2">
      <c r="B31" t="s">
        <v>311</v>
      </c>
    </row>
    <row r="32" spans="2:2" x14ac:dyDescent="0.2">
      <c r="B32" t="s">
        <v>310</v>
      </c>
    </row>
    <row r="33" spans="2:2" x14ac:dyDescent="0.2">
      <c r="B33" t="s">
        <v>308</v>
      </c>
    </row>
    <row r="34" spans="2:2" x14ac:dyDescent="0.2">
      <c r="B34" t="s">
        <v>307</v>
      </c>
    </row>
    <row r="35" spans="2:2" x14ac:dyDescent="0.2">
      <c r="B35" t="s">
        <v>306</v>
      </c>
    </row>
    <row r="36" spans="2:2" x14ac:dyDescent="0.2">
      <c r="B36" t="s">
        <v>305</v>
      </c>
    </row>
    <row r="37" spans="2:2" x14ac:dyDescent="0.2">
      <c r="B37" t="s">
        <v>304</v>
      </c>
    </row>
    <row r="38" spans="2:2" x14ac:dyDescent="0.2">
      <c r="B38" t="s">
        <v>303</v>
      </c>
    </row>
    <row r="39" spans="2:2" x14ac:dyDescent="0.2">
      <c r="B39" t="s">
        <v>302</v>
      </c>
    </row>
    <row r="40" spans="2:2" x14ac:dyDescent="0.2">
      <c r="B40" t="s">
        <v>301</v>
      </c>
    </row>
    <row r="41" spans="2:2" x14ac:dyDescent="0.2">
      <c r="B41" t="s">
        <v>300</v>
      </c>
    </row>
    <row r="42" spans="2:2" x14ac:dyDescent="0.2">
      <c r="B42" t="s">
        <v>299</v>
      </c>
    </row>
    <row r="43" spans="2:2" x14ac:dyDescent="0.2">
      <c r="B43" t="s">
        <v>298</v>
      </c>
    </row>
    <row r="44" spans="2:2" x14ac:dyDescent="0.2">
      <c r="B44" t="s">
        <v>297</v>
      </c>
    </row>
    <row r="45" spans="2:2" x14ac:dyDescent="0.2">
      <c r="B45" t="s">
        <v>296</v>
      </c>
    </row>
    <row r="46" spans="2:2" x14ac:dyDescent="0.2">
      <c r="B46" t="s">
        <v>295</v>
      </c>
    </row>
    <row r="47" spans="2:2" x14ac:dyDescent="0.2">
      <c r="B47" t="s">
        <v>292</v>
      </c>
    </row>
    <row r="48" spans="2:2" x14ac:dyDescent="0.2">
      <c r="B48" t="s">
        <v>294</v>
      </c>
    </row>
    <row r="49" spans="2:2" x14ac:dyDescent="0.2">
      <c r="B49" t="s">
        <v>293</v>
      </c>
    </row>
    <row r="50" spans="2:2" x14ac:dyDescent="0.2">
      <c r="B50" t="s">
        <v>291</v>
      </c>
    </row>
    <row r="51" spans="2:2" x14ac:dyDescent="0.2">
      <c r="B51" t="s">
        <v>290</v>
      </c>
    </row>
    <row r="52" spans="2:2" x14ac:dyDescent="0.2">
      <c r="B52" t="s">
        <v>289</v>
      </c>
    </row>
    <row r="53" spans="2:2" x14ac:dyDescent="0.2">
      <c r="B53" t="s">
        <v>155</v>
      </c>
    </row>
    <row r="54" spans="2:2" x14ac:dyDescent="0.2">
      <c r="B54" t="s">
        <v>154</v>
      </c>
    </row>
    <row r="55" spans="2:2" x14ac:dyDescent="0.2">
      <c r="B55" t="s">
        <v>153</v>
      </c>
    </row>
    <row r="56" spans="2:2" x14ac:dyDescent="0.2">
      <c r="B56" t="s">
        <v>152</v>
      </c>
    </row>
    <row r="57" spans="2:2" x14ac:dyDescent="0.2">
      <c r="B57" t="s">
        <v>288</v>
      </c>
    </row>
    <row r="58" spans="2:2" x14ac:dyDescent="0.2">
      <c r="B58" t="s">
        <v>287</v>
      </c>
    </row>
    <row r="59" spans="2:2" x14ac:dyDescent="0.2">
      <c r="B59" t="s">
        <v>286</v>
      </c>
    </row>
    <row r="60" spans="2:2" x14ac:dyDescent="0.2">
      <c r="B60" t="s">
        <v>151</v>
      </c>
    </row>
    <row r="61" spans="2:2" x14ac:dyDescent="0.2">
      <c r="B61" t="s">
        <v>150</v>
      </c>
    </row>
    <row r="62" spans="2:2" x14ac:dyDescent="0.2">
      <c r="B62" t="s">
        <v>285</v>
      </c>
    </row>
    <row r="63" spans="2:2" x14ac:dyDescent="0.2">
      <c r="B63" t="s">
        <v>284</v>
      </c>
    </row>
    <row r="64" spans="2:2" x14ac:dyDescent="0.2">
      <c r="B64" t="s">
        <v>283</v>
      </c>
    </row>
    <row r="65" spans="2:2" x14ac:dyDescent="0.2">
      <c r="B65" t="s">
        <v>282</v>
      </c>
    </row>
    <row r="66" spans="2:2" x14ac:dyDescent="0.2">
      <c r="B66" t="s">
        <v>281</v>
      </c>
    </row>
    <row r="67" spans="2:2" x14ac:dyDescent="0.2">
      <c r="B67" t="s">
        <v>272</v>
      </c>
    </row>
    <row r="68" spans="2:2" x14ac:dyDescent="0.2">
      <c r="B68" t="s">
        <v>280</v>
      </c>
    </row>
    <row r="69" spans="2:2" x14ac:dyDescent="0.2">
      <c r="B69" t="s">
        <v>278</v>
      </c>
    </row>
    <row r="70" spans="2:2" x14ac:dyDescent="0.2">
      <c r="B70" t="s">
        <v>279</v>
      </c>
    </row>
    <row r="71" spans="2:2" x14ac:dyDescent="0.2">
      <c r="B71" t="s">
        <v>277</v>
      </c>
    </row>
    <row r="72" spans="2:2" x14ac:dyDescent="0.2">
      <c r="B72" t="s">
        <v>276</v>
      </c>
    </row>
    <row r="73" spans="2:2" x14ac:dyDescent="0.2">
      <c r="B73" t="s">
        <v>275</v>
      </c>
    </row>
    <row r="74" spans="2:2" x14ac:dyDescent="0.2">
      <c r="B74" t="s">
        <v>274</v>
      </c>
    </row>
    <row r="75" spans="2:2" x14ac:dyDescent="0.2">
      <c r="B75" t="s">
        <v>273</v>
      </c>
    </row>
    <row r="76" spans="2:2" x14ac:dyDescent="0.2">
      <c r="B76" t="s">
        <v>271</v>
      </c>
    </row>
    <row r="77" spans="2:2" x14ac:dyDescent="0.2">
      <c r="B77" t="s">
        <v>270</v>
      </c>
    </row>
    <row r="78" spans="2:2" x14ac:dyDescent="0.2">
      <c r="B78" t="s">
        <v>269</v>
      </c>
    </row>
    <row r="79" spans="2:2" x14ac:dyDescent="0.2">
      <c r="B79" t="s">
        <v>149</v>
      </c>
    </row>
    <row r="80" spans="2:2" x14ac:dyDescent="0.2">
      <c r="B80" t="s">
        <v>148</v>
      </c>
    </row>
    <row r="81" spans="2:2" x14ac:dyDescent="0.2">
      <c r="B81" t="s">
        <v>268</v>
      </c>
    </row>
    <row r="82" spans="2:2" x14ac:dyDescent="0.2">
      <c r="B82" t="s">
        <v>267</v>
      </c>
    </row>
    <row r="83" spans="2:2" x14ac:dyDescent="0.2">
      <c r="B83" t="s">
        <v>266</v>
      </c>
    </row>
    <row r="84" spans="2:2" x14ac:dyDescent="0.2">
      <c r="B84" t="s">
        <v>265</v>
      </c>
    </row>
    <row r="85" spans="2:2" x14ac:dyDescent="0.2">
      <c r="B85" t="s">
        <v>264</v>
      </c>
    </row>
    <row r="86" spans="2:2" x14ac:dyDescent="0.2">
      <c r="B86" t="s">
        <v>263</v>
      </c>
    </row>
    <row r="87" spans="2:2" x14ac:dyDescent="0.2">
      <c r="B87" t="s">
        <v>262</v>
      </c>
    </row>
    <row r="88" spans="2:2" x14ac:dyDescent="0.2">
      <c r="B88" t="s">
        <v>261</v>
      </c>
    </row>
    <row r="89" spans="2:2" x14ac:dyDescent="0.2">
      <c r="B89" t="s">
        <v>260</v>
      </c>
    </row>
    <row r="90" spans="2:2" x14ac:dyDescent="0.2">
      <c r="B90" t="s">
        <v>259</v>
      </c>
    </row>
    <row r="91" spans="2:2" x14ac:dyDescent="0.2">
      <c r="B91" t="s">
        <v>258</v>
      </c>
    </row>
    <row r="92" spans="2:2" x14ac:dyDescent="0.2">
      <c r="B92" t="s">
        <v>257</v>
      </c>
    </row>
    <row r="93" spans="2:2" x14ac:dyDescent="0.2">
      <c r="B93" t="s">
        <v>256</v>
      </c>
    </row>
    <row r="94" spans="2:2" x14ac:dyDescent="0.2">
      <c r="B94" t="s">
        <v>255</v>
      </c>
    </row>
    <row r="95" spans="2:2" x14ac:dyDescent="0.2">
      <c r="B95" t="s">
        <v>254</v>
      </c>
    </row>
    <row r="96" spans="2:2" x14ac:dyDescent="0.2">
      <c r="B96" t="s">
        <v>253</v>
      </c>
    </row>
    <row r="97" spans="2:2" x14ac:dyDescent="0.2">
      <c r="B97" t="s">
        <v>252</v>
      </c>
    </row>
    <row r="98" spans="2:2" x14ac:dyDescent="0.2">
      <c r="B98" t="s">
        <v>251</v>
      </c>
    </row>
    <row r="99" spans="2:2" x14ac:dyDescent="0.2">
      <c r="B99" t="s">
        <v>250</v>
      </c>
    </row>
    <row r="100" spans="2:2" x14ac:dyDescent="0.2">
      <c r="B100" t="s">
        <v>249</v>
      </c>
    </row>
    <row r="101" spans="2:2" x14ac:dyDescent="0.2">
      <c r="B101" t="s">
        <v>247</v>
      </c>
    </row>
    <row r="102" spans="2:2" x14ac:dyDescent="0.2">
      <c r="B102" t="s">
        <v>248</v>
      </c>
    </row>
    <row r="103" spans="2:2" x14ac:dyDescent="0.2">
      <c r="B103" t="s">
        <v>246</v>
      </c>
    </row>
    <row r="104" spans="2:2" x14ac:dyDescent="0.2">
      <c r="B104" t="s">
        <v>245</v>
      </c>
    </row>
    <row r="105" spans="2:2" x14ac:dyDescent="0.2">
      <c r="B105" t="s">
        <v>244</v>
      </c>
    </row>
    <row r="106" spans="2:2" x14ac:dyDescent="0.2">
      <c r="B106" t="s">
        <v>243</v>
      </c>
    </row>
    <row r="107" spans="2:2" x14ac:dyDescent="0.2">
      <c r="B107" t="s">
        <v>242</v>
      </c>
    </row>
    <row r="108" spans="2:2" x14ac:dyDescent="0.2">
      <c r="B108" t="s">
        <v>241</v>
      </c>
    </row>
    <row r="109" spans="2:2" x14ac:dyDescent="0.2">
      <c r="B109" t="s">
        <v>240</v>
      </c>
    </row>
    <row r="110" spans="2:2" x14ac:dyDescent="0.2">
      <c r="B110" t="s">
        <v>239</v>
      </c>
    </row>
    <row r="111" spans="2:2" x14ac:dyDescent="0.2">
      <c r="B111" t="s">
        <v>238</v>
      </c>
    </row>
    <row r="112" spans="2:2" x14ac:dyDescent="0.2">
      <c r="B112" t="s">
        <v>237</v>
      </c>
    </row>
    <row r="113" spans="2:2" x14ac:dyDescent="0.2">
      <c r="B113" t="s">
        <v>236</v>
      </c>
    </row>
    <row r="114" spans="2:2" x14ac:dyDescent="0.2">
      <c r="B114" t="s">
        <v>235</v>
      </c>
    </row>
    <row r="115" spans="2:2" x14ac:dyDescent="0.2">
      <c r="B115" t="s">
        <v>234</v>
      </c>
    </row>
    <row r="116" spans="2:2" x14ac:dyDescent="0.2">
      <c r="B116" t="s">
        <v>233</v>
      </c>
    </row>
    <row r="117" spans="2:2" x14ac:dyDescent="0.2">
      <c r="B117" t="s">
        <v>232</v>
      </c>
    </row>
    <row r="118" spans="2:2" x14ac:dyDescent="0.2">
      <c r="B118" t="s">
        <v>231</v>
      </c>
    </row>
    <row r="119" spans="2:2" x14ac:dyDescent="0.2">
      <c r="B119" t="s">
        <v>230</v>
      </c>
    </row>
    <row r="120" spans="2:2" x14ac:dyDescent="0.2">
      <c r="B120" t="s">
        <v>229</v>
      </c>
    </row>
    <row r="121" spans="2:2" x14ac:dyDescent="0.2">
      <c r="B121" t="s">
        <v>228</v>
      </c>
    </row>
    <row r="122" spans="2:2" x14ac:dyDescent="0.2">
      <c r="B122" t="s">
        <v>227</v>
      </c>
    </row>
    <row r="123" spans="2:2" x14ac:dyDescent="0.2">
      <c r="B123" t="s">
        <v>226</v>
      </c>
    </row>
    <row r="124" spans="2:2" x14ac:dyDescent="0.2">
      <c r="B124" t="s">
        <v>225</v>
      </c>
    </row>
    <row r="125" spans="2:2" x14ac:dyDescent="0.2">
      <c r="B125" t="s">
        <v>219</v>
      </c>
    </row>
    <row r="126" spans="2:2" x14ac:dyDescent="0.2">
      <c r="B126" t="s">
        <v>224</v>
      </c>
    </row>
    <row r="127" spans="2:2" x14ac:dyDescent="0.2">
      <c r="B127" t="s">
        <v>223</v>
      </c>
    </row>
    <row r="128" spans="2:2" x14ac:dyDescent="0.2">
      <c r="B128" t="s">
        <v>222</v>
      </c>
    </row>
    <row r="129" spans="2:2" x14ac:dyDescent="0.2">
      <c r="B129" t="s">
        <v>221</v>
      </c>
    </row>
    <row r="130" spans="2:2" x14ac:dyDescent="0.2">
      <c r="B130" t="s">
        <v>220</v>
      </c>
    </row>
    <row r="131" spans="2:2" x14ac:dyDescent="0.2">
      <c r="B131" t="s">
        <v>218</v>
      </c>
    </row>
    <row r="132" spans="2:2" x14ac:dyDescent="0.2">
      <c r="B132" t="s">
        <v>217</v>
      </c>
    </row>
    <row r="133" spans="2:2" x14ac:dyDescent="0.2">
      <c r="B133" t="s">
        <v>216</v>
      </c>
    </row>
    <row r="134" spans="2:2" x14ac:dyDescent="0.2">
      <c r="B134" t="s">
        <v>215</v>
      </c>
    </row>
    <row r="135" spans="2:2" x14ac:dyDescent="0.2">
      <c r="B135" t="s">
        <v>214</v>
      </c>
    </row>
    <row r="136" spans="2:2" x14ac:dyDescent="0.2">
      <c r="B136" t="s">
        <v>213</v>
      </c>
    </row>
    <row r="137" spans="2:2" x14ac:dyDescent="0.2">
      <c r="B137" t="s">
        <v>212</v>
      </c>
    </row>
    <row r="138" spans="2:2" x14ac:dyDescent="0.2">
      <c r="B138" t="s">
        <v>211</v>
      </c>
    </row>
    <row r="139" spans="2:2" x14ac:dyDescent="0.2">
      <c r="B139" t="s">
        <v>210</v>
      </c>
    </row>
    <row r="140" spans="2:2" x14ac:dyDescent="0.2">
      <c r="B140" t="s">
        <v>206</v>
      </c>
    </row>
    <row r="141" spans="2:2" x14ac:dyDescent="0.2">
      <c r="B141" t="s">
        <v>209</v>
      </c>
    </row>
    <row r="142" spans="2:2" x14ac:dyDescent="0.2">
      <c r="B142" t="s">
        <v>208</v>
      </c>
    </row>
    <row r="143" spans="2:2" x14ac:dyDescent="0.2">
      <c r="B143" t="s">
        <v>207</v>
      </c>
    </row>
    <row r="144" spans="2:2" x14ac:dyDescent="0.2">
      <c r="B144" t="s">
        <v>205</v>
      </c>
    </row>
    <row r="145" spans="2:2" x14ac:dyDescent="0.2">
      <c r="B145" t="s">
        <v>200</v>
      </c>
    </row>
    <row r="146" spans="2:2" x14ac:dyDescent="0.2">
      <c r="B146" t="s">
        <v>199</v>
      </c>
    </row>
    <row r="147" spans="2:2" x14ac:dyDescent="0.2">
      <c r="B147" t="s">
        <v>204</v>
      </c>
    </row>
    <row r="148" spans="2:2" x14ac:dyDescent="0.2">
      <c r="B148" t="s">
        <v>203</v>
      </c>
    </row>
    <row r="149" spans="2:2" x14ac:dyDescent="0.2">
      <c r="B149" t="s">
        <v>202</v>
      </c>
    </row>
    <row r="150" spans="2:2" x14ac:dyDescent="0.2">
      <c r="B150" t="s">
        <v>201</v>
      </c>
    </row>
    <row r="151" spans="2:2" x14ac:dyDescent="0.2">
      <c r="B151" t="s">
        <v>198</v>
      </c>
    </row>
    <row r="152" spans="2:2" x14ac:dyDescent="0.2">
      <c r="B152" t="s">
        <v>197</v>
      </c>
    </row>
    <row r="153" spans="2:2" x14ac:dyDescent="0.2">
      <c r="B153" t="s">
        <v>196</v>
      </c>
    </row>
    <row r="154" spans="2:2" x14ac:dyDescent="0.2">
      <c r="B154" t="s">
        <v>195</v>
      </c>
    </row>
    <row r="155" spans="2:2" x14ac:dyDescent="0.2">
      <c r="B155" t="s">
        <v>194</v>
      </c>
    </row>
    <row r="156" spans="2:2" x14ac:dyDescent="0.2">
      <c r="B156" t="s">
        <v>193</v>
      </c>
    </row>
    <row r="157" spans="2:2" x14ac:dyDescent="0.2">
      <c r="B157" t="s">
        <v>192</v>
      </c>
    </row>
    <row r="158" spans="2:2" x14ac:dyDescent="0.2">
      <c r="B158" t="s">
        <v>191</v>
      </c>
    </row>
    <row r="159" spans="2:2" x14ac:dyDescent="0.2">
      <c r="B159" t="s">
        <v>176</v>
      </c>
    </row>
    <row r="160" spans="2:2" x14ac:dyDescent="0.2">
      <c r="B160" t="s">
        <v>190</v>
      </c>
    </row>
    <row r="161" spans="2:2" x14ac:dyDescent="0.2">
      <c r="B161" t="s">
        <v>189</v>
      </c>
    </row>
    <row r="162" spans="2:2" x14ac:dyDescent="0.2">
      <c r="B162" t="s">
        <v>188</v>
      </c>
    </row>
    <row r="163" spans="2:2" x14ac:dyDescent="0.2">
      <c r="B163" t="s">
        <v>187</v>
      </c>
    </row>
    <row r="164" spans="2:2" x14ac:dyDescent="0.2">
      <c r="B164" t="s">
        <v>186</v>
      </c>
    </row>
    <row r="165" spans="2:2" x14ac:dyDescent="0.2">
      <c r="B165" t="s">
        <v>185</v>
      </c>
    </row>
    <row r="166" spans="2:2" x14ac:dyDescent="0.2">
      <c r="B166" t="s">
        <v>184</v>
      </c>
    </row>
    <row r="167" spans="2:2" x14ac:dyDescent="0.2">
      <c r="B167" t="s">
        <v>183</v>
      </c>
    </row>
    <row r="168" spans="2:2" x14ac:dyDescent="0.2">
      <c r="B168" t="s">
        <v>182</v>
      </c>
    </row>
    <row r="169" spans="2:2" x14ac:dyDescent="0.2">
      <c r="B169" t="s">
        <v>181</v>
      </c>
    </row>
    <row r="170" spans="2:2" x14ac:dyDescent="0.2">
      <c r="B170" t="s">
        <v>178</v>
      </c>
    </row>
    <row r="171" spans="2:2" x14ac:dyDescent="0.2">
      <c r="B171" t="s">
        <v>180</v>
      </c>
    </row>
    <row r="172" spans="2:2" x14ac:dyDescent="0.2">
      <c r="B172" t="s">
        <v>179</v>
      </c>
    </row>
    <row r="173" spans="2:2" x14ac:dyDescent="0.2">
      <c r="B173" t="s">
        <v>177</v>
      </c>
    </row>
    <row r="174" spans="2:2" x14ac:dyDescent="0.2">
      <c r="B174" t="s">
        <v>175</v>
      </c>
    </row>
    <row r="175" spans="2:2" x14ac:dyDescent="0.2">
      <c r="B175" t="s">
        <v>174</v>
      </c>
    </row>
    <row r="176" spans="2:2" x14ac:dyDescent="0.2">
      <c r="B176" t="s">
        <v>173</v>
      </c>
    </row>
    <row r="177" spans="2:2" x14ac:dyDescent="0.2">
      <c r="B177" t="s">
        <v>172</v>
      </c>
    </row>
    <row r="178" spans="2:2" x14ac:dyDescent="0.2">
      <c r="B178" t="s">
        <v>171</v>
      </c>
    </row>
    <row r="179" spans="2:2" x14ac:dyDescent="0.2">
      <c r="B179" t="s">
        <v>170</v>
      </c>
    </row>
    <row r="180" spans="2:2" x14ac:dyDescent="0.2">
      <c r="B180" t="s">
        <v>169</v>
      </c>
    </row>
    <row r="181" spans="2:2" x14ac:dyDescent="0.2">
      <c r="B181" t="s">
        <v>168</v>
      </c>
    </row>
    <row r="182" spans="2:2" x14ac:dyDescent="0.2">
      <c r="B182" t="s">
        <v>167</v>
      </c>
    </row>
    <row r="183" spans="2:2" x14ac:dyDescent="0.2">
      <c r="B183" t="s">
        <v>166</v>
      </c>
    </row>
    <row r="184" spans="2:2" x14ac:dyDescent="0.2">
      <c r="B184" t="s">
        <v>165</v>
      </c>
    </row>
    <row r="185" spans="2:2" x14ac:dyDescent="0.2">
      <c r="B185" t="s">
        <v>164</v>
      </c>
    </row>
    <row r="186" spans="2:2" x14ac:dyDescent="0.2">
      <c r="B186" t="s">
        <v>163</v>
      </c>
    </row>
    <row r="187" spans="2:2" x14ac:dyDescent="0.2">
      <c r="B187" t="s">
        <v>162</v>
      </c>
    </row>
    <row r="188" spans="2:2" x14ac:dyDescent="0.2">
      <c r="B188" t="s">
        <v>161</v>
      </c>
    </row>
    <row r="189" spans="2:2" x14ac:dyDescent="0.2">
      <c r="B189" t="s">
        <v>160</v>
      </c>
    </row>
    <row r="190" spans="2:2" x14ac:dyDescent="0.2">
      <c r="B190" t="s">
        <v>159</v>
      </c>
    </row>
    <row r="191" spans="2:2" x14ac:dyDescent="0.2">
      <c r="B191" t="s">
        <v>158</v>
      </c>
    </row>
    <row r="192" spans="2:2" x14ac:dyDescent="0.2">
      <c r="B192" t="s">
        <v>157</v>
      </c>
    </row>
    <row r="193" spans="2:2" x14ac:dyDescent="0.2">
      <c r="B193" t="s">
        <v>156</v>
      </c>
    </row>
  </sheetData>
  <sortState xmlns:xlrd2="http://schemas.microsoft.com/office/spreadsheetml/2017/richdata2" ref="A1:B195">
    <sortCondition ref="B1:B195"/>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B1D72-FC40-8E4A-B0A7-AD27DCCB7735}">
  <dimension ref="A1:I36"/>
  <sheetViews>
    <sheetView view="pageBreakPreview" topLeftCell="A40" zoomScale="125" zoomScaleNormal="75" workbookViewId="0">
      <selection activeCell="G32" sqref="G32"/>
    </sheetView>
  </sheetViews>
  <sheetFormatPr baseColWidth="10" defaultRowHeight="16" x14ac:dyDescent="0.2"/>
  <sheetData>
    <row r="1" spans="1:9" x14ac:dyDescent="0.2">
      <c r="A1" s="64"/>
      <c r="B1" s="65"/>
      <c r="C1" s="65"/>
      <c r="D1" s="65"/>
      <c r="E1" s="65"/>
      <c r="F1" s="65"/>
      <c r="G1" s="65"/>
      <c r="H1" s="65"/>
      <c r="I1" s="66"/>
    </row>
    <row r="2" spans="1:9" ht="40" customHeight="1" x14ac:dyDescent="0.2">
      <c r="A2" s="67"/>
      <c r="B2" s="277" t="s">
        <v>108</v>
      </c>
      <c r="C2" s="277"/>
      <c r="D2" s="277"/>
      <c r="E2" s="277"/>
      <c r="F2" s="277"/>
      <c r="G2" s="277"/>
      <c r="H2" s="277"/>
      <c r="I2" s="68"/>
    </row>
    <row r="3" spans="1:9" x14ac:dyDescent="0.2">
      <c r="A3" s="69"/>
      <c r="B3" s="63"/>
      <c r="C3" s="63"/>
      <c r="D3" s="63"/>
      <c r="E3" s="63"/>
      <c r="F3" s="63"/>
      <c r="G3" s="63"/>
      <c r="H3" s="63"/>
      <c r="I3" s="70"/>
    </row>
    <row r="4" spans="1:9" ht="48" customHeight="1" x14ac:dyDescent="0.2">
      <c r="A4" s="274" t="s">
        <v>107</v>
      </c>
      <c r="B4" s="275"/>
      <c r="C4" s="275"/>
      <c r="D4" s="275"/>
      <c r="E4" s="275"/>
      <c r="F4" s="275"/>
      <c r="G4" s="275"/>
      <c r="H4" s="275"/>
      <c r="I4" s="276"/>
    </row>
    <row r="5" spans="1:9" x14ac:dyDescent="0.2">
      <c r="A5" s="71"/>
      <c r="I5" s="72"/>
    </row>
    <row r="6" spans="1:9" x14ac:dyDescent="0.2">
      <c r="A6" s="73" t="s">
        <v>83</v>
      </c>
      <c r="I6" s="72"/>
    </row>
    <row r="7" spans="1:9" x14ac:dyDescent="0.2">
      <c r="A7" s="71"/>
      <c r="B7" t="s">
        <v>88</v>
      </c>
      <c r="I7" s="72"/>
    </row>
    <row r="8" spans="1:9" x14ac:dyDescent="0.2">
      <c r="A8" s="74"/>
      <c r="B8" t="s">
        <v>89</v>
      </c>
      <c r="I8" s="72"/>
    </row>
    <row r="9" spans="1:9" x14ac:dyDescent="0.2">
      <c r="A9" s="74"/>
      <c r="B9" t="s">
        <v>90</v>
      </c>
      <c r="I9" s="72"/>
    </row>
    <row r="10" spans="1:9" x14ac:dyDescent="0.2">
      <c r="A10" s="74"/>
      <c r="B10" t="s">
        <v>91</v>
      </c>
      <c r="I10" s="72"/>
    </row>
    <row r="11" spans="1:9" x14ac:dyDescent="0.2">
      <c r="A11" s="74"/>
      <c r="B11" t="s">
        <v>96</v>
      </c>
      <c r="I11" s="72"/>
    </row>
    <row r="12" spans="1:9" x14ac:dyDescent="0.2">
      <c r="A12" s="74"/>
      <c r="I12" s="72"/>
    </row>
    <row r="13" spans="1:9" x14ac:dyDescent="0.2">
      <c r="A13" s="75" t="s">
        <v>84</v>
      </c>
      <c r="I13" s="72"/>
    </row>
    <row r="14" spans="1:9" x14ac:dyDescent="0.2">
      <c r="A14" s="76" t="s">
        <v>85</v>
      </c>
      <c r="I14" s="72"/>
    </row>
    <row r="15" spans="1:9" x14ac:dyDescent="0.2">
      <c r="A15" s="71"/>
      <c r="B15" t="s">
        <v>92</v>
      </c>
      <c r="I15" s="72"/>
    </row>
    <row r="16" spans="1:9" x14ac:dyDescent="0.2">
      <c r="A16" s="71"/>
      <c r="B16" t="s">
        <v>93</v>
      </c>
      <c r="I16" s="72"/>
    </row>
    <row r="17" spans="1:9" x14ac:dyDescent="0.2">
      <c r="A17" s="71"/>
      <c r="B17" t="s">
        <v>94</v>
      </c>
      <c r="I17" s="72"/>
    </row>
    <row r="18" spans="1:9" x14ac:dyDescent="0.2">
      <c r="A18" s="71"/>
      <c r="B18" t="s">
        <v>95</v>
      </c>
      <c r="I18" s="72"/>
    </row>
    <row r="19" spans="1:9" x14ac:dyDescent="0.2">
      <c r="A19" s="71"/>
      <c r="B19" t="s">
        <v>96</v>
      </c>
      <c r="I19" s="72"/>
    </row>
    <row r="20" spans="1:9" x14ac:dyDescent="0.2">
      <c r="A20" s="71"/>
      <c r="I20" s="72"/>
    </row>
    <row r="21" spans="1:9" x14ac:dyDescent="0.2">
      <c r="A21" s="76" t="s">
        <v>86</v>
      </c>
      <c r="I21" s="72"/>
    </row>
    <row r="22" spans="1:9" x14ac:dyDescent="0.2">
      <c r="A22" s="71"/>
      <c r="B22" t="s">
        <v>97</v>
      </c>
      <c r="I22" s="72"/>
    </row>
    <row r="23" spans="1:9" x14ac:dyDescent="0.2">
      <c r="A23" s="71"/>
      <c r="B23" t="s">
        <v>98</v>
      </c>
      <c r="I23" s="72"/>
    </row>
    <row r="24" spans="1:9" x14ac:dyDescent="0.2">
      <c r="A24" s="71"/>
      <c r="I24" s="72"/>
    </row>
    <row r="25" spans="1:9" x14ac:dyDescent="0.2">
      <c r="A25" s="76" t="s">
        <v>87</v>
      </c>
      <c r="I25" s="72"/>
    </row>
    <row r="26" spans="1:9" x14ac:dyDescent="0.2">
      <c r="A26" s="71"/>
      <c r="B26" t="s">
        <v>99</v>
      </c>
      <c r="I26" s="72"/>
    </row>
    <row r="27" spans="1:9" x14ac:dyDescent="0.2">
      <c r="A27" s="71"/>
      <c r="B27" t="s">
        <v>100</v>
      </c>
      <c r="I27" s="72"/>
    </row>
    <row r="28" spans="1:9" ht="31" customHeight="1" x14ac:dyDescent="0.2">
      <c r="A28" s="71"/>
      <c r="B28" s="275" t="s">
        <v>101</v>
      </c>
      <c r="C28" s="275"/>
      <c r="D28" s="275"/>
      <c r="E28" s="275"/>
      <c r="F28" s="275"/>
      <c r="G28" s="275"/>
      <c r="H28" s="275"/>
      <c r="I28" s="276"/>
    </row>
    <row r="29" spans="1:9" x14ac:dyDescent="0.2">
      <c r="A29" s="71"/>
      <c r="B29" t="s">
        <v>102</v>
      </c>
      <c r="I29" s="72"/>
    </row>
    <row r="30" spans="1:9" x14ac:dyDescent="0.2">
      <c r="A30" s="71"/>
      <c r="I30" s="72"/>
    </row>
    <row r="31" spans="1:9" x14ac:dyDescent="0.2">
      <c r="A31" s="71" t="s">
        <v>106</v>
      </c>
      <c r="I31" s="72"/>
    </row>
    <row r="32" spans="1:9" x14ac:dyDescent="0.2">
      <c r="A32" s="71"/>
      <c r="B32" t="s">
        <v>103</v>
      </c>
      <c r="I32" s="72"/>
    </row>
    <row r="33" spans="1:9" ht="32" customHeight="1" x14ac:dyDescent="0.2">
      <c r="A33" s="71"/>
      <c r="B33" s="275" t="s">
        <v>104</v>
      </c>
      <c r="C33" s="275"/>
      <c r="D33" s="275"/>
      <c r="E33" s="275"/>
      <c r="F33" s="275"/>
      <c r="G33" s="275"/>
      <c r="H33" s="275"/>
      <c r="I33" s="276"/>
    </row>
    <row r="34" spans="1:9" x14ac:dyDescent="0.2">
      <c r="A34" s="71"/>
      <c r="I34" s="72"/>
    </row>
    <row r="35" spans="1:9" x14ac:dyDescent="0.2">
      <c r="A35" s="77" t="s">
        <v>105</v>
      </c>
      <c r="I35" s="72"/>
    </row>
    <row r="36" spans="1:9" ht="17" thickBot="1" x14ac:dyDescent="0.25">
      <c r="A36" s="78"/>
      <c r="B36" s="79"/>
      <c r="C36" s="79"/>
      <c r="D36" s="79"/>
      <c r="E36" s="79"/>
      <c r="F36" s="79"/>
      <c r="G36" s="79"/>
      <c r="H36" s="79"/>
      <c r="I36" s="80"/>
    </row>
  </sheetData>
  <mergeCells count="4">
    <mergeCell ref="A4:I4"/>
    <mergeCell ref="B28:I28"/>
    <mergeCell ref="B33:I33"/>
    <mergeCell ref="B2:H2"/>
  </mergeCells>
  <pageMargins left="0.7" right="0.7" top="0.75" bottom="0.75" header="0.3" footer="0.3"/>
  <pageSetup paperSize="9" scale="48" orientation="portrait" horizontalDpi="0" verticalDpi="0"/>
  <headerFooter scaleWithDoc="0">
    <oddHeader>&amp;L&amp;"Calibri,Normal"&amp;K000000&amp;F&amp;C&amp;"Calibri,Normal"&amp;K000000                                                   &amp;A&amp;R&amp;"Calibri,Normal"&amp;K000000&amp;P sur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3BD52-0C8C-7548-8822-0A992E001B0F}">
  <dimension ref="A1:I74"/>
  <sheetViews>
    <sheetView view="pageBreakPreview" zoomScale="60" zoomScaleNormal="89" workbookViewId="0">
      <selection activeCell="E6" sqref="E6"/>
    </sheetView>
  </sheetViews>
  <sheetFormatPr baseColWidth="10" defaultRowHeight="16" x14ac:dyDescent="0.2"/>
  <sheetData>
    <row r="1" spans="1:9" ht="17" thickBot="1" x14ac:dyDescent="0.25">
      <c r="A1" s="64"/>
      <c r="B1" s="65"/>
      <c r="C1" s="65"/>
      <c r="D1" s="65"/>
      <c r="E1" s="65"/>
      <c r="F1" s="65"/>
      <c r="G1" s="65"/>
      <c r="H1" s="65"/>
      <c r="I1" s="66"/>
    </row>
    <row r="2" spans="1:9" x14ac:dyDescent="0.2">
      <c r="A2" s="71"/>
      <c r="B2" s="288" t="s">
        <v>109</v>
      </c>
      <c r="C2" s="289"/>
      <c r="D2" s="289"/>
      <c r="E2" s="289"/>
      <c r="F2" s="289"/>
      <c r="G2" s="289"/>
      <c r="H2" s="290"/>
      <c r="I2" s="72"/>
    </row>
    <row r="3" spans="1:9" ht="17" thickBot="1" x14ac:dyDescent="0.25">
      <c r="A3" s="71"/>
      <c r="B3" s="291"/>
      <c r="C3" s="292"/>
      <c r="D3" s="292"/>
      <c r="E3" s="292"/>
      <c r="F3" s="292"/>
      <c r="G3" s="292"/>
      <c r="H3" s="293"/>
      <c r="I3" s="72"/>
    </row>
    <row r="4" spans="1:9" x14ac:dyDescent="0.2">
      <c r="A4" s="71"/>
      <c r="I4" s="72"/>
    </row>
    <row r="5" spans="1:9" x14ac:dyDescent="0.2">
      <c r="A5" s="71"/>
      <c r="B5" t="s">
        <v>141</v>
      </c>
      <c r="E5" s="287" t="s">
        <v>514</v>
      </c>
      <c r="F5" s="287"/>
      <c r="G5" s="287"/>
      <c r="H5" s="287"/>
      <c r="I5" s="72"/>
    </row>
    <row r="6" spans="1:9" ht="10" customHeight="1" x14ac:dyDescent="0.2">
      <c r="A6" s="71"/>
      <c r="I6" s="72"/>
    </row>
    <row r="7" spans="1:9" x14ac:dyDescent="0.2">
      <c r="A7" s="71"/>
      <c r="B7" t="s">
        <v>110</v>
      </c>
      <c r="E7" s="287">
        <v>10</v>
      </c>
      <c r="F7" s="287"/>
      <c r="G7" s="287"/>
      <c r="H7" s="287"/>
      <c r="I7" s="72"/>
    </row>
    <row r="8" spans="1:9" ht="10" customHeight="1" x14ac:dyDescent="0.2">
      <c r="A8" s="71"/>
      <c r="I8" s="72"/>
    </row>
    <row r="9" spans="1:9" x14ac:dyDescent="0.2">
      <c r="A9" s="71"/>
      <c r="B9" t="s">
        <v>111</v>
      </c>
      <c r="E9" s="287" t="s">
        <v>0</v>
      </c>
      <c r="F9" s="287"/>
      <c r="G9" s="287"/>
      <c r="H9" s="287"/>
      <c r="I9" s="72"/>
    </row>
    <row r="10" spans="1:9" ht="10" customHeight="1" x14ac:dyDescent="0.2">
      <c r="A10" s="71"/>
      <c r="I10" s="72"/>
    </row>
    <row r="11" spans="1:9" ht="34" customHeight="1" x14ac:dyDescent="0.2">
      <c r="A11" s="71"/>
      <c r="B11" s="254" t="s">
        <v>112</v>
      </c>
      <c r="E11" s="282" t="s">
        <v>444</v>
      </c>
      <c r="F11" s="282"/>
      <c r="G11" s="282"/>
      <c r="H11" s="282"/>
      <c r="I11" s="72"/>
    </row>
    <row r="12" spans="1:9" ht="10" customHeight="1" x14ac:dyDescent="0.2">
      <c r="A12" s="71"/>
      <c r="I12" s="72"/>
    </row>
    <row r="13" spans="1:9" x14ac:dyDescent="0.2">
      <c r="A13" s="71"/>
      <c r="B13" t="s">
        <v>441</v>
      </c>
      <c r="F13" t="s">
        <v>113</v>
      </c>
      <c r="G13" s="287" t="s">
        <v>0</v>
      </c>
      <c r="H13" s="287"/>
      <c r="I13" s="72"/>
    </row>
    <row r="14" spans="1:9" x14ac:dyDescent="0.2">
      <c r="A14" s="71"/>
      <c r="F14" t="s">
        <v>114</v>
      </c>
      <c r="G14" s="287" t="s">
        <v>1</v>
      </c>
      <c r="H14" s="287"/>
      <c r="I14" s="72"/>
    </row>
    <row r="15" spans="1:9" x14ac:dyDescent="0.2">
      <c r="A15" s="71"/>
      <c r="F15" t="s">
        <v>115</v>
      </c>
      <c r="G15" s="287" t="s">
        <v>2</v>
      </c>
      <c r="H15" s="287"/>
      <c r="I15" s="72"/>
    </row>
    <row r="16" spans="1:9" x14ac:dyDescent="0.2">
      <c r="A16" s="71"/>
      <c r="F16" t="s">
        <v>116</v>
      </c>
      <c r="G16" s="287" t="s">
        <v>3</v>
      </c>
      <c r="H16" s="287"/>
      <c r="I16" s="72"/>
    </row>
    <row r="17" spans="1:9" x14ac:dyDescent="0.2">
      <c r="A17" s="71"/>
      <c r="F17" t="s">
        <v>117</v>
      </c>
      <c r="G17" s="287" t="s">
        <v>4</v>
      </c>
      <c r="H17" s="287"/>
      <c r="I17" s="72"/>
    </row>
    <row r="18" spans="1:9" x14ac:dyDescent="0.2">
      <c r="A18" s="71"/>
      <c r="F18" t="s">
        <v>118</v>
      </c>
      <c r="G18" s="287" t="s">
        <v>442</v>
      </c>
      <c r="H18" s="287"/>
      <c r="I18" s="72"/>
    </row>
    <row r="19" spans="1:9" x14ac:dyDescent="0.2">
      <c r="A19" s="71"/>
      <c r="F19" t="s">
        <v>119</v>
      </c>
      <c r="G19" s="287" t="s">
        <v>443</v>
      </c>
      <c r="H19" s="287"/>
      <c r="I19" s="72"/>
    </row>
    <row r="20" spans="1:9" x14ac:dyDescent="0.2">
      <c r="A20" s="71"/>
      <c r="F20" t="s">
        <v>120</v>
      </c>
      <c r="G20" s="287"/>
      <c r="H20" s="287"/>
      <c r="I20" s="72"/>
    </row>
    <row r="21" spans="1:9" x14ac:dyDescent="0.2">
      <c r="A21" s="71"/>
      <c r="F21" t="s">
        <v>121</v>
      </c>
      <c r="G21" s="287"/>
      <c r="H21" s="287"/>
      <c r="I21" s="72"/>
    </row>
    <row r="22" spans="1:9" x14ac:dyDescent="0.2">
      <c r="A22" s="71"/>
      <c r="F22" t="s">
        <v>122</v>
      </c>
      <c r="G22" s="287"/>
      <c r="H22" s="287"/>
      <c r="I22" s="72"/>
    </row>
    <row r="23" spans="1:9" x14ac:dyDescent="0.2">
      <c r="A23" s="71"/>
      <c r="F23" t="s">
        <v>123</v>
      </c>
      <c r="G23" s="287"/>
      <c r="H23" s="287"/>
      <c r="I23" s="72"/>
    </row>
    <row r="24" spans="1:9" x14ac:dyDescent="0.2">
      <c r="A24" s="71"/>
      <c r="F24" t="s">
        <v>124</v>
      </c>
      <c r="G24" s="287"/>
      <c r="H24" s="287"/>
      <c r="I24" s="72"/>
    </row>
    <row r="25" spans="1:9" x14ac:dyDescent="0.2">
      <c r="A25" s="71"/>
      <c r="F25" t="s">
        <v>125</v>
      </c>
      <c r="G25" s="287"/>
      <c r="H25" s="287"/>
      <c r="I25" s="72"/>
    </row>
    <row r="26" spans="1:9" x14ac:dyDescent="0.2">
      <c r="A26" s="71"/>
      <c r="F26" t="s">
        <v>126</v>
      </c>
      <c r="G26" s="287"/>
      <c r="H26" s="287"/>
      <c r="I26" s="72"/>
    </row>
    <row r="27" spans="1:9" x14ac:dyDescent="0.2">
      <c r="A27" s="71"/>
      <c r="F27" t="s">
        <v>127</v>
      </c>
      <c r="G27" s="287"/>
      <c r="H27" s="287"/>
      <c r="I27" s="72"/>
    </row>
    <row r="28" spans="1:9" ht="10" customHeight="1" thickBot="1" x14ac:dyDescent="0.25">
      <c r="A28" s="71"/>
      <c r="I28" s="72"/>
    </row>
    <row r="29" spans="1:9" ht="17" thickBot="1" x14ac:dyDescent="0.25">
      <c r="A29" s="71"/>
      <c r="B29" t="s">
        <v>128</v>
      </c>
      <c r="F29" s="255"/>
      <c r="G29" s="294" t="s">
        <v>131</v>
      </c>
      <c r="H29" s="295"/>
      <c r="I29" s="72"/>
    </row>
    <row r="30" spans="1:9" ht="10" customHeight="1" x14ac:dyDescent="0.2">
      <c r="A30" s="71"/>
      <c r="I30" s="72"/>
    </row>
    <row r="31" spans="1:9" x14ac:dyDescent="0.2">
      <c r="A31" s="71"/>
      <c r="C31" t="s">
        <v>130</v>
      </c>
      <c r="E31" s="282" t="s">
        <v>445</v>
      </c>
      <c r="F31" s="282"/>
      <c r="G31" s="282"/>
      <c r="H31" s="282"/>
      <c r="I31" s="72"/>
    </row>
    <row r="32" spans="1:9" x14ac:dyDescent="0.2">
      <c r="A32" s="71"/>
      <c r="E32" s="282"/>
      <c r="F32" s="282"/>
      <c r="G32" s="282"/>
      <c r="H32" s="282"/>
      <c r="I32" s="72"/>
    </row>
    <row r="33" spans="1:9" x14ac:dyDescent="0.2">
      <c r="A33" s="71"/>
      <c r="E33" s="282"/>
      <c r="F33" s="282"/>
      <c r="G33" s="282"/>
      <c r="H33" s="282"/>
      <c r="I33" s="72"/>
    </row>
    <row r="34" spans="1:9" ht="10" customHeight="1" thickBot="1" x14ac:dyDescent="0.25">
      <c r="A34" s="71"/>
      <c r="I34" s="72"/>
    </row>
    <row r="35" spans="1:9" ht="17" thickBot="1" x14ac:dyDescent="0.25">
      <c r="A35" s="71"/>
      <c r="B35" t="s">
        <v>129</v>
      </c>
      <c r="G35" s="294" t="s">
        <v>131</v>
      </c>
      <c r="H35" s="295"/>
      <c r="I35" s="72"/>
    </row>
    <row r="36" spans="1:9" ht="10" customHeight="1" x14ac:dyDescent="0.2">
      <c r="A36" s="71"/>
      <c r="I36" s="72"/>
    </row>
    <row r="37" spans="1:9" x14ac:dyDescent="0.2">
      <c r="A37" s="71"/>
      <c r="C37" t="s">
        <v>130</v>
      </c>
      <c r="E37" s="282" t="s">
        <v>446</v>
      </c>
      <c r="F37" s="282"/>
      <c r="G37" s="282"/>
      <c r="H37" s="282"/>
      <c r="I37" s="72"/>
    </row>
    <row r="38" spans="1:9" x14ac:dyDescent="0.2">
      <c r="A38" s="71"/>
      <c r="E38" s="282"/>
      <c r="F38" s="282"/>
      <c r="G38" s="282"/>
      <c r="H38" s="282"/>
      <c r="I38" s="72"/>
    </row>
    <row r="39" spans="1:9" x14ac:dyDescent="0.2">
      <c r="A39" s="71"/>
      <c r="E39" s="282"/>
      <c r="F39" s="282"/>
      <c r="G39" s="282"/>
      <c r="H39" s="282"/>
      <c r="I39" s="72"/>
    </row>
    <row r="40" spans="1:9" ht="17" thickBot="1" x14ac:dyDescent="0.25">
      <c r="A40" s="71"/>
      <c r="I40" s="72"/>
    </row>
    <row r="41" spans="1:9" ht="16" customHeight="1" thickBot="1" x14ac:dyDescent="0.25">
      <c r="A41" s="71"/>
      <c r="B41" s="275" t="s">
        <v>133</v>
      </c>
      <c r="C41" s="275"/>
      <c r="D41" s="275"/>
      <c r="E41" s="275"/>
      <c r="F41" s="275"/>
      <c r="G41" s="294" t="s">
        <v>131</v>
      </c>
      <c r="H41" s="295"/>
      <c r="I41" s="72"/>
    </row>
    <row r="42" spans="1:9" x14ac:dyDescent="0.2">
      <c r="A42" s="71"/>
      <c r="B42" s="275"/>
      <c r="C42" s="275"/>
      <c r="D42" s="275"/>
      <c r="E42" s="275"/>
      <c r="F42" s="275"/>
      <c r="I42" s="72"/>
    </row>
    <row r="43" spans="1:9" ht="10" customHeight="1" x14ac:dyDescent="0.2">
      <c r="A43" s="71"/>
      <c r="B43" s="240"/>
      <c r="C43" s="240"/>
      <c r="D43" s="240"/>
      <c r="E43" s="240"/>
      <c r="I43" s="72"/>
    </row>
    <row r="44" spans="1:9" x14ac:dyDescent="0.2">
      <c r="A44" s="71"/>
      <c r="C44" t="s">
        <v>130</v>
      </c>
      <c r="E44" s="282" t="s">
        <v>447</v>
      </c>
      <c r="F44" s="282"/>
      <c r="G44" s="282"/>
      <c r="H44" s="282"/>
      <c r="I44" s="72"/>
    </row>
    <row r="45" spans="1:9" x14ac:dyDescent="0.2">
      <c r="A45" s="71"/>
      <c r="E45" s="282"/>
      <c r="F45" s="282"/>
      <c r="G45" s="282"/>
      <c r="H45" s="282"/>
      <c r="I45" s="72"/>
    </row>
    <row r="46" spans="1:9" x14ac:dyDescent="0.2">
      <c r="A46" s="71"/>
      <c r="E46" s="282"/>
      <c r="F46" s="282"/>
      <c r="G46" s="282"/>
      <c r="H46" s="282"/>
      <c r="I46" s="72"/>
    </row>
    <row r="47" spans="1:9" ht="9" customHeight="1" thickBot="1" x14ac:dyDescent="0.25">
      <c r="A47" s="71"/>
      <c r="I47" s="72"/>
    </row>
    <row r="48" spans="1:9" ht="17" thickBot="1" x14ac:dyDescent="0.25">
      <c r="A48" s="71"/>
      <c r="B48" t="s">
        <v>134</v>
      </c>
      <c r="G48" s="294" t="s">
        <v>132</v>
      </c>
      <c r="H48" s="295"/>
      <c r="I48" s="72"/>
    </row>
    <row r="49" spans="1:9" x14ac:dyDescent="0.2">
      <c r="A49" s="71"/>
      <c r="I49" s="72"/>
    </row>
    <row r="50" spans="1:9" x14ac:dyDescent="0.2">
      <c r="A50" s="71"/>
      <c r="C50" t="s">
        <v>135</v>
      </c>
      <c r="F50" t="s">
        <v>113</v>
      </c>
      <c r="G50" s="287"/>
      <c r="H50" s="287"/>
      <c r="I50" s="72"/>
    </row>
    <row r="51" spans="1:9" x14ac:dyDescent="0.2">
      <c r="A51" s="71"/>
      <c r="F51" t="s">
        <v>114</v>
      </c>
      <c r="G51" s="287"/>
      <c r="H51" s="287"/>
      <c r="I51" s="72"/>
    </row>
    <row r="52" spans="1:9" x14ac:dyDescent="0.2">
      <c r="A52" s="71"/>
      <c r="F52" t="s">
        <v>115</v>
      </c>
      <c r="G52" s="287"/>
      <c r="H52" s="287"/>
      <c r="I52" s="72"/>
    </row>
    <row r="53" spans="1:9" x14ac:dyDescent="0.2">
      <c r="A53" s="71"/>
      <c r="F53" t="s">
        <v>116</v>
      </c>
      <c r="G53" s="287"/>
      <c r="H53" s="287"/>
      <c r="I53" s="72"/>
    </row>
    <row r="54" spans="1:9" x14ac:dyDescent="0.2">
      <c r="A54" s="71"/>
      <c r="F54" t="s">
        <v>117</v>
      </c>
      <c r="G54" s="287"/>
      <c r="H54" s="287"/>
      <c r="I54" s="72"/>
    </row>
    <row r="55" spans="1:9" x14ac:dyDescent="0.2">
      <c r="A55" s="71"/>
      <c r="F55" t="s">
        <v>118</v>
      </c>
      <c r="G55" s="287"/>
      <c r="H55" s="287"/>
      <c r="I55" s="72"/>
    </row>
    <row r="56" spans="1:9" x14ac:dyDescent="0.2">
      <c r="A56" s="71"/>
      <c r="F56" t="s">
        <v>119</v>
      </c>
      <c r="G56" s="287"/>
      <c r="H56" s="287"/>
      <c r="I56" s="72"/>
    </row>
    <row r="57" spans="1:9" x14ac:dyDescent="0.2">
      <c r="A57" s="71"/>
      <c r="F57" t="s">
        <v>120</v>
      </c>
      <c r="G57" s="287"/>
      <c r="H57" s="287"/>
      <c r="I57" s="72"/>
    </row>
    <row r="58" spans="1:9" x14ac:dyDescent="0.2">
      <c r="A58" s="71"/>
      <c r="F58" t="s">
        <v>121</v>
      </c>
      <c r="G58" s="287"/>
      <c r="H58" s="287"/>
      <c r="I58" s="72"/>
    </row>
    <row r="59" spans="1:9" x14ac:dyDescent="0.2">
      <c r="A59" s="71"/>
      <c r="F59" t="s">
        <v>122</v>
      </c>
      <c r="G59" s="287"/>
      <c r="H59" s="287"/>
      <c r="I59" s="72"/>
    </row>
    <row r="60" spans="1:9" x14ac:dyDescent="0.2">
      <c r="A60" s="71"/>
      <c r="F60" t="s">
        <v>123</v>
      </c>
      <c r="G60" s="287"/>
      <c r="H60" s="287"/>
      <c r="I60" s="72"/>
    </row>
    <row r="61" spans="1:9" x14ac:dyDescent="0.2">
      <c r="A61" s="71"/>
      <c r="F61" t="s">
        <v>124</v>
      </c>
      <c r="G61" s="287"/>
      <c r="H61" s="287"/>
      <c r="I61" s="72"/>
    </row>
    <row r="62" spans="1:9" x14ac:dyDescent="0.2">
      <c r="A62" s="71"/>
      <c r="F62" t="s">
        <v>125</v>
      </c>
      <c r="G62" s="287"/>
      <c r="H62" s="287"/>
      <c r="I62" s="72"/>
    </row>
    <row r="63" spans="1:9" x14ac:dyDescent="0.2">
      <c r="A63" s="71"/>
      <c r="F63" t="s">
        <v>126</v>
      </c>
      <c r="G63" s="287"/>
      <c r="H63" s="287"/>
      <c r="I63" s="72"/>
    </row>
    <row r="64" spans="1:9" x14ac:dyDescent="0.2">
      <c r="A64" s="71"/>
      <c r="F64" t="s">
        <v>127</v>
      </c>
      <c r="G64" s="287"/>
      <c r="H64" s="287"/>
      <c r="I64" s="72"/>
    </row>
    <row r="65" spans="1:9" ht="17" thickBot="1" x14ac:dyDescent="0.25">
      <c r="A65" s="71"/>
      <c r="I65" s="72"/>
    </row>
    <row r="66" spans="1:9" ht="17" thickBot="1" x14ac:dyDescent="0.25">
      <c r="A66" s="71"/>
      <c r="B66" t="s">
        <v>136</v>
      </c>
      <c r="G66" s="294" t="s">
        <v>132</v>
      </c>
      <c r="H66" s="295"/>
      <c r="I66" s="72"/>
    </row>
    <row r="67" spans="1:9" ht="17" thickBot="1" x14ac:dyDescent="0.25">
      <c r="A67" s="71"/>
      <c r="I67" s="72"/>
    </row>
    <row r="68" spans="1:9" ht="17" thickBot="1" x14ac:dyDescent="0.25">
      <c r="A68" s="71"/>
      <c r="B68" t="s">
        <v>448</v>
      </c>
      <c r="G68" s="294" t="s">
        <v>131</v>
      </c>
      <c r="H68" s="295"/>
      <c r="I68" s="72"/>
    </row>
    <row r="69" spans="1:9" ht="17" thickBot="1" x14ac:dyDescent="0.25">
      <c r="A69" s="71"/>
      <c r="I69" s="72"/>
    </row>
    <row r="70" spans="1:9" x14ac:dyDescent="0.2">
      <c r="A70" s="71"/>
      <c r="B70" s="256" t="s">
        <v>417</v>
      </c>
      <c r="C70" s="278" t="s">
        <v>449</v>
      </c>
      <c r="D70" s="279"/>
      <c r="E70" s="279"/>
      <c r="F70" s="279"/>
      <c r="G70" s="279"/>
      <c r="H70" s="280"/>
      <c r="I70" s="72"/>
    </row>
    <row r="71" spans="1:9" x14ac:dyDescent="0.2">
      <c r="A71" s="71"/>
      <c r="C71" s="281"/>
      <c r="D71" s="282"/>
      <c r="E71" s="282"/>
      <c r="F71" s="282"/>
      <c r="G71" s="282"/>
      <c r="H71" s="283"/>
      <c r="I71" s="72"/>
    </row>
    <row r="72" spans="1:9" x14ac:dyDescent="0.2">
      <c r="A72" s="71"/>
      <c r="C72" s="281"/>
      <c r="D72" s="282"/>
      <c r="E72" s="282"/>
      <c r="F72" s="282"/>
      <c r="G72" s="282"/>
      <c r="H72" s="283"/>
      <c r="I72" s="72"/>
    </row>
    <row r="73" spans="1:9" ht="21" customHeight="1" thickBot="1" x14ac:dyDescent="0.25">
      <c r="A73" s="71"/>
      <c r="C73" s="284"/>
      <c r="D73" s="285"/>
      <c r="E73" s="285"/>
      <c r="F73" s="285"/>
      <c r="G73" s="285"/>
      <c r="H73" s="286"/>
      <c r="I73" s="72"/>
    </row>
    <row r="74" spans="1:9" ht="17" thickBot="1" x14ac:dyDescent="0.25">
      <c r="A74" s="78"/>
      <c r="B74" s="79"/>
      <c r="C74" s="79"/>
      <c r="D74" s="79"/>
      <c r="E74" s="79"/>
      <c r="F74" s="79"/>
      <c r="G74" s="79"/>
      <c r="H74" s="79"/>
      <c r="I74" s="80"/>
    </row>
  </sheetData>
  <mergeCells count="46">
    <mergeCell ref="G68:H68"/>
    <mergeCell ref="G55:H55"/>
    <mergeCell ref="G56:H56"/>
    <mergeCell ref="G57:H57"/>
    <mergeCell ref="G58:H58"/>
    <mergeCell ref="G59:H59"/>
    <mergeCell ref="G60:H60"/>
    <mergeCell ref="G61:H61"/>
    <mergeCell ref="G62:H62"/>
    <mergeCell ref="G63:H63"/>
    <mergeCell ref="G64:H64"/>
    <mergeCell ref="G66:H66"/>
    <mergeCell ref="E31:H33"/>
    <mergeCell ref="G29:H29"/>
    <mergeCell ref="G35:H35"/>
    <mergeCell ref="G54:H54"/>
    <mergeCell ref="E37:H39"/>
    <mergeCell ref="G41:H41"/>
    <mergeCell ref="E44:H46"/>
    <mergeCell ref="B41:F42"/>
    <mergeCell ref="G48:H48"/>
    <mergeCell ref="G50:H50"/>
    <mergeCell ref="G51:H51"/>
    <mergeCell ref="G52:H52"/>
    <mergeCell ref="G53:H53"/>
    <mergeCell ref="G22:H22"/>
    <mergeCell ref="G23:H23"/>
    <mergeCell ref="G24:H24"/>
    <mergeCell ref="G26:H26"/>
    <mergeCell ref="G27:H27"/>
    <mergeCell ref="C70:H73"/>
    <mergeCell ref="G13:H13"/>
    <mergeCell ref="B2:H3"/>
    <mergeCell ref="E5:H5"/>
    <mergeCell ref="E7:H7"/>
    <mergeCell ref="E9:H9"/>
    <mergeCell ref="E11:H11"/>
    <mergeCell ref="G25:H25"/>
    <mergeCell ref="G14:H14"/>
    <mergeCell ref="G15:H15"/>
    <mergeCell ref="G16:H16"/>
    <mergeCell ref="G17:H17"/>
    <mergeCell ref="G18:H18"/>
    <mergeCell ref="G19:H19"/>
    <mergeCell ref="G20:H20"/>
    <mergeCell ref="G21:H21"/>
  </mergeCells>
  <pageMargins left="0.7" right="0.7" top="0.75" bottom="0.75" header="0.3" footer="0.3"/>
  <pageSetup paperSize="9" scale="48" orientation="portrait" horizontalDpi="0" verticalDpi="0"/>
  <headerFooter scaleWithDoc="0">
    <oddHeader>&amp;L&amp;"Calibri,Normal"&amp;K000000&amp;F&amp;C&amp;"Calibri,Normal"&amp;K000000                                                   &amp;A&amp;R&amp;"Calibri,Normal"&amp;K000000&amp;P sur &amp;N</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DF37001-5B3F-884B-8B56-B220F38B84A2}">
          <x14:formula1>
            <xm:f>Base!$A$1:$A$2</xm:f>
          </x14:formula1>
          <xm:sqref>G29:H29 G35:H35 G41:H41 G48:H48 G66:H66 G68:H68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81A61-3E11-044F-9CD3-0388BEB6C21B}">
  <dimension ref="B2:O24"/>
  <sheetViews>
    <sheetView view="pageBreakPreview" topLeftCell="A2" zoomScale="78" zoomScaleNormal="43" workbookViewId="0">
      <selection activeCell="J21" sqref="J21"/>
    </sheetView>
  </sheetViews>
  <sheetFormatPr baseColWidth="10" defaultRowHeight="16" x14ac:dyDescent="0.2"/>
  <cols>
    <col min="2" max="2" width="15.6640625" bestFit="1" customWidth="1"/>
    <col min="3" max="3" width="10.83203125" customWidth="1"/>
    <col min="4" max="4" width="12.1640625" bestFit="1" customWidth="1"/>
    <col min="5" max="5" width="32" bestFit="1" customWidth="1"/>
    <col min="6" max="6" width="12.6640625" bestFit="1" customWidth="1"/>
    <col min="7" max="7" width="10.83203125" customWidth="1"/>
    <col min="8" max="8" width="11.83203125" bestFit="1" customWidth="1"/>
    <col min="10" max="10" width="39.83203125" customWidth="1"/>
    <col min="11" max="11" width="15.6640625" customWidth="1"/>
    <col min="13" max="13" width="16.83203125" bestFit="1" customWidth="1"/>
    <col min="14" max="15" width="10.83203125" customWidth="1"/>
  </cols>
  <sheetData>
    <row r="2" spans="2:15" s="63" customFormat="1" ht="51" x14ac:dyDescent="0.2">
      <c r="B2" s="102" t="s">
        <v>142</v>
      </c>
      <c r="C2" s="102" t="s">
        <v>137</v>
      </c>
      <c r="D2" s="102" t="s">
        <v>143</v>
      </c>
      <c r="E2" s="102" t="s">
        <v>144</v>
      </c>
      <c r="F2" s="102" t="s">
        <v>145</v>
      </c>
      <c r="G2" s="102" t="s">
        <v>358</v>
      </c>
      <c r="H2" s="102" t="s">
        <v>138</v>
      </c>
      <c r="I2" s="102" t="s">
        <v>139</v>
      </c>
      <c r="J2" s="102" t="s">
        <v>467</v>
      </c>
      <c r="K2" s="102" t="s">
        <v>504</v>
      </c>
      <c r="L2" s="102" t="s">
        <v>146</v>
      </c>
      <c r="M2" s="102" t="s">
        <v>140</v>
      </c>
      <c r="N2" s="102" t="s">
        <v>147</v>
      </c>
      <c r="O2" s="102" t="s">
        <v>341</v>
      </c>
    </row>
    <row r="3" spans="2:15" ht="17" x14ac:dyDescent="0.2">
      <c r="B3" s="185" t="str">
        <f>IF(ISBLANK('fiche groupe'!G13),"",'fiche groupe'!G13)</f>
        <v>Société A</v>
      </c>
      <c r="C3" s="186" t="s">
        <v>450</v>
      </c>
      <c r="D3" s="186" t="s">
        <v>456</v>
      </c>
      <c r="E3" s="186" t="s">
        <v>460</v>
      </c>
      <c r="F3" s="187" t="s">
        <v>283</v>
      </c>
      <c r="G3" s="260" t="str">
        <f>IF(F3="France","OUI",IF(F3="","","NON"))</f>
        <v>OUI</v>
      </c>
      <c r="H3" s="188">
        <v>36892</v>
      </c>
      <c r="I3" s="186" t="s">
        <v>468</v>
      </c>
      <c r="J3" s="165" t="s">
        <v>515</v>
      </c>
      <c r="K3" s="261">
        <v>3000</v>
      </c>
      <c r="L3" s="186">
        <v>5</v>
      </c>
      <c r="M3" s="186" t="s">
        <v>473</v>
      </c>
      <c r="N3" s="187" t="s">
        <v>131</v>
      </c>
      <c r="O3" s="187" t="s">
        <v>132</v>
      </c>
    </row>
    <row r="4" spans="2:15" ht="51" x14ac:dyDescent="0.2">
      <c r="B4" s="185" t="str">
        <f>IF(ISBLANK('fiche groupe'!G14),"",'fiche groupe'!G14)</f>
        <v>Société B</v>
      </c>
      <c r="C4" s="186" t="s">
        <v>451</v>
      </c>
      <c r="D4" s="186" t="s">
        <v>453</v>
      </c>
      <c r="E4" s="186" t="s">
        <v>461</v>
      </c>
      <c r="F4" s="187" t="s">
        <v>283</v>
      </c>
      <c r="G4" s="260" t="str">
        <f t="shared" ref="G4:G18" si="0">IF(F4="France","OUI",IF(F4="","","NON"))</f>
        <v>OUI</v>
      </c>
      <c r="H4" s="188">
        <v>37257</v>
      </c>
      <c r="I4" s="186" t="s">
        <v>469</v>
      </c>
      <c r="J4" s="165" t="s">
        <v>516</v>
      </c>
      <c r="K4" s="261">
        <v>6000</v>
      </c>
      <c r="L4" s="186">
        <v>5</v>
      </c>
      <c r="M4" s="186" t="s">
        <v>474</v>
      </c>
      <c r="N4" s="187" t="s">
        <v>131</v>
      </c>
      <c r="O4" s="187" t="s">
        <v>132</v>
      </c>
    </row>
    <row r="5" spans="2:15" ht="51" x14ac:dyDescent="0.2">
      <c r="B5" s="185" t="str">
        <f>IF(ISBLANK('fiche groupe'!G15),"",'fiche groupe'!G15)</f>
        <v>Société C</v>
      </c>
      <c r="C5" s="186" t="s">
        <v>451</v>
      </c>
      <c r="D5" s="186" t="s">
        <v>454</v>
      </c>
      <c r="E5" s="186" t="s">
        <v>462</v>
      </c>
      <c r="F5" s="187" t="s">
        <v>283</v>
      </c>
      <c r="G5" s="260" t="str">
        <f t="shared" si="0"/>
        <v>OUI</v>
      </c>
      <c r="H5" s="188">
        <v>37623</v>
      </c>
      <c r="I5" s="186" t="s">
        <v>470</v>
      </c>
      <c r="J5" s="165" t="s">
        <v>517</v>
      </c>
      <c r="K5" s="261">
        <v>76000</v>
      </c>
      <c r="L5" s="186">
        <v>5</v>
      </c>
      <c r="M5" s="186" t="s">
        <v>475</v>
      </c>
      <c r="N5" s="187" t="s">
        <v>131</v>
      </c>
      <c r="O5" s="187" t="s">
        <v>132</v>
      </c>
    </row>
    <row r="6" spans="2:15" ht="34" x14ac:dyDescent="0.2">
      <c r="B6" s="185" t="str">
        <f>IF(ISBLANK('fiche groupe'!G16),"",'fiche groupe'!G16)</f>
        <v>Société D</v>
      </c>
      <c r="C6" s="186" t="s">
        <v>450</v>
      </c>
      <c r="D6" s="186" t="s">
        <v>455</v>
      </c>
      <c r="E6" s="186" t="s">
        <v>463</v>
      </c>
      <c r="F6" s="187" t="s">
        <v>283</v>
      </c>
      <c r="G6" s="260" t="str">
        <f t="shared" si="0"/>
        <v>OUI</v>
      </c>
      <c r="H6" s="188">
        <v>37989</v>
      </c>
      <c r="I6" s="186" t="s">
        <v>471</v>
      </c>
      <c r="J6" s="165" t="s">
        <v>518</v>
      </c>
      <c r="K6" s="261">
        <v>95000</v>
      </c>
      <c r="L6" s="186">
        <v>5</v>
      </c>
      <c r="M6" s="186" t="s">
        <v>476</v>
      </c>
      <c r="N6" s="187" t="s">
        <v>131</v>
      </c>
      <c r="O6" s="187" t="s">
        <v>132</v>
      </c>
    </row>
    <row r="7" spans="2:15" ht="34" x14ac:dyDescent="0.2">
      <c r="B7" s="185" t="str">
        <f>IF(ISBLANK('fiche groupe'!G17),"",'fiche groupe'!G17)</f>
        <v>Société E</v>
      </c>
      <c r="C7" s="186" t="s">
        <v>450</v>
      </c>
      <c r="D7" s="186" t="s">
        <v>457</v>
      </c>
      <c r="E7" s="186" t="s">
        <v>464</v>
      </c>
      <c r="F7" s="187" t="s">
        <v>283</v>
      </c>
      <c r="G7" s="260" t="str">
        <f t="shared" si="0"/>
        <v>OUI</v>
      </c>
      <c r="H7" s="188">
        <v>38356</v>
      </c>
      <c r="I7" s="186" t="s">
        <v>472</v>
      </c>
      <c r="J7" s="165" t="s">
        <v>519</v>
      </c>
      <c r="K7" s="261">
        <v>2500000</v>
      </c>
      <c r="L7" s="186">
        <v>5</v>
      </c>
      <c r="M7" s="186" t="s">
        <v>477</v>
      </c>
      <c r="N7" s="187" t="s">
        <v>131</v>
      </c>
      <c r="O7" s="187" t="s">
        <v>132</v>
      </c>
    </row>
    <row r="8" spans="2:15" ht="34" x14ac:dyDescent="0.2">
      <c r="B8" s="185" t="str">
        <f>IF(ISBLANK('fiche groupe'!G18),"",'fiche groupe'!G18)</f>
        <v>Société F</v>
      </c>
      <c r="C8" s="186" t="s">
        <v>452</v>
      </c>
      <c r="D8" s="186" t="s">
        <v>458</v>
      </c>
      <c r="E8" s="186" t="s">
        <v>465</v>
      </c>
      <c r="F8" s="187" t="s">
        <v>283</v>
      </c>
      <c r="G8" s="260" t="str">
        <f t="shared" si="0"/>
        <v>OUI</v>
      </c>
      <c r="H8" s="188">
        <v>38722</v>
      </c>
      <c r="I8" s="186" t="s">
        <v>472</v>
      </c>
      <c r="J8" s="165" t="s">
        <v>519</v>
      </c>
      <c r="K8" s="261">
        <v>1500000</v>
      </c>
      <c r="L8" s="186">
        <v>5</v>
      </c>
      <c r="M8" s="186" t="s">
        <v>478</v>
      </c>
      <c r="N8" s="187" t="s">
        <v>131</v>
      </c>
      <c r="O8" s="187" t="s">
        <v>131</v>
      </c>
    </row>
    <row r="9" spans="2:15" ht="34" x14ac:dyDescent="0.2">
      <c r="B9" s="185" t="str">
        <f>IF(ISBLANK('fiche groupe'!G19),"",'fiche groupe'!G19)</f>
        <v>Société G</v>
      </c>
      <c r="C9" s="186" t="s">
        <v>452</v>
      </c>
      <c r="D9" s="186" t="s">
        <v>459</v>
      </c>
      <c r="E9" s="186" t="s">
        <v>466</v>
      </c>
      <c r="F9" s="187" t="s">
        <v>203</v>
      </c>
      <c r="G9" s="260" t="str">
        <f t="shared" si="0"/>
        <v>NON</v>
      </c>
      <c r="H9" s="188">
        <v>39088</v>
      </c>
      <c r="I9" s="186" t="s">
        <v>472</v>
      </c>
      <c r="J9" s="165" t="s">
        <v>519</v>
      </c>
      <c r="K9" s="261">
        <v>750000</v>
      </c>
      <c r="L9" s="186">
        <v>5</v>
      </c>
      <c r="M9" s="186" t="s">
        <v>479</v>
      </c>
      <c r="N9" s="187" t="s">
        <v>131</v>
      </c>
      <c r="O9" s="187" t="s">
        <v>132</v>
      </c>
    </row>
    <row r="10" spans="2:15" x14ac:dyDescent="0.2">
      <c r="B10" s="185" t="str">
        <f>IF(ISBLANK('fiche groupe'!G20),"",'fiche groupe'!G20)</f>
        <v/>
      </c>
      <c r="C10" s="186"/>
      <c r="D10" s="186"/>
      <c r="E10" s="186"/>
      <c r="F10" s="187"/>
      <c r="G10" s="260" t="str">
        <f t="shared" si="0"/>
        <v/>
      </c>
      <c r="H10" s="188"/>
      <c r="I10" s="186"/>
      <c r="J10" s="165"/>
      <c r="K10" s="261"/>
      <c r="L10" s="186"/>
      <c r="M10" s="186"/>
      <c r="N10" s="187"/>
      <c r="O10" s="187"/>
    </row>
    <row r="11" spans="2:15" x14ac:dyDescent="0.2">
      <c r="B11" s="185" t="str">
        <f>IF(ISBLANK('fiche groupe'!G21),"",'fiche groupe'!G21)</f>
        <v/>
      </c>
      <c r="C11" s="186"/>
      <c r="D11" s="186"/>
      <c r="E11" s="186"/>
      <c r="F11" s="187"/>
      <c r="G11" s="260" t="str">
        <f t="shared" si="0"/>
        <v/>
      </c>
      <c r="H11" s="188"/>
      <c r="I11" s="186"/>
      <c r="J11" s="165"/>
      <c r="K11" s="261"/>
      <c r="L11" s="186"/>
      <c r="M11" s="186"/>
      <c r="N11" s="187"/>
      <c r="O11" s="187"/>
    </row>
    <row r="12" spans="2:15" x14ac:dyDescent="0.2">
      <c r="B12" s="185" t="str">
        <f>IF(ISBLANK('fiche groupe'!G22),"",'fiche groupe'!G22)</f>
        <v/>
      </c>
      <c r="C12" s="186"/>
      <c r="D12" s="186"/>
      <c r="E12" s="186"/>
      <c r="F12" s="187"/>
      <c r="G12" s="260" t="str">
        <f t="shared" si="0"/>
        <v/>
      </c>
      <c r="H12" s="188"/>
      <c r="I12" s="186"/>
      <c r="J12" s="165"/>
      <c r="K12" s="261"/>
      <c r="L12" s="186"/>
      <c r="M12" s="186"/>
      <c r="N12" s="187"/>
      <c r="O12" s="187"/>
    </row>
    <row r="13" spans="2:15" x14ac:dyDescent="0.2">
      <c r="B13" s="185" t="str">
        <f>IF(ISBLANK('fiche groupe'!G23),"",'fiche groupe'!G23)</f>
        <v/>
      </c>
      <c r="C13" s="186"/>
      <c r="D13" s="186"/>
      <c r="E13" s="186"/>
      <c r="F13" s="187"/>
      <c r="G13" s="260" t="str">
        <f t="shared" si="0"/>
        <v/>
      </c>
      <c r="H13" s="188"/>
      <c r="I13" s="186"/>
      <c r="J13" s="165"/>
      <c r="K13" s="261"/>
      <c r="L13" s="186"/>
      <c r="M13" s="186"/>
      <c r="N13" s="187"/>
      <c r="O13" s="187"/>
    </row>
    <row r="14" spans="2:15" x14ac:dyDescent="0.2">
      <c r="B14" s="185" t="str">
        <f>IF(ISBLANK('fiche groupe'!G24),"",'fiche groupe'!G24)</f>
        <v/>
      </c>
      <c r="C14" s="186"/>
      <c r="D14" s="186"/>
      <c r="E14" s="186"/>
      <c r="F14" s="187"/>
      <c r="G14" s="260" t="str">
        <f t="shared" si="0"/>
        <v/>
      </c>
      <c r="H14" s="188"/>
      <c r="I14" s="186"/>
      <c r="J14" s="165"/>
      <c r="K14" s="261"/>
      <c r="L14" s="186"/>
      <c r="M14" s="186"/>
      <c r="N14" s="187"/>
      <c r="O14" s="187"/>
    </row>
    <row r="15" spans="2:15" x14ac:dyDescent="0.2">
      <c r="B15" s="185" t="str">
        <f>IF(ISBLANK('fiche groupe'!G25),"",'fiche groupe'!G25)</f>
        <v/>
      </c>
      <c r="C15" s="186"/>
      <c r="D15" s="186"/>
      <c r="E15" s="186"/>
      <c r="F15" s="187"/>
      <c r="G15" s="260" t="str">
        <f t="shared" si="0"/>
        <v/>
      </c>
      <c r="H15" s="188"/>
      <c r="I15" s="186"/>
      <c r="J15" s="165"/>
      <c r="K15" s="261"/>
      <c r="L15" s="186"/>
      <c r="M15" s="186"/>
      <c r="N15" s="187"/>
      <c r="O15" s="187"/>
    </row>
    <row r="16" spans="2:15" x14ac:dyDescent="0.2">
      <c r="B16" s="185" t="str">
        <f>IF(ISBLANK('fiche groupe'!G26),"",'fiche groupe'!G26)</f>
        <v/>
      </c>
      <c r="C16" s="186"/>
      <c r="D16" s="186"/>
      <c r="E16" s="186"/>
      <c r="F16" s="187"/>
      <c r="G16" s="260" t="str">
        <f t="shared" si="0"/>
        <v/>
      </c>
      <c r="H16" s="188"/>
      <c r="I16" s="186"/>
      <c r="J16" s="165"/>
      <c r="K16" s="261"/>
      <c r="L16" s="186"/>
      <c r="M16" s="186"/>
      <c r="N16" s="187"/>
      <c r="O16" s="187"/>
    </row>
    <row r="17" spans="2:15" x14ac:dyDescent="0.2">
      <c r="B17" s="185" t="str">
        <f>IF(ISBLANK('fiche groupe'!G27),"",'fiche groupe'!G27)</f>
        <v/>
      </c>
      <c r="C17" s="186"/>
      <c r="D17" s="186"/>
      <c r="E17" s="186"/>
      <c r="F17" s="187"/>
      <c r="G17" s="260" t="str">
        <f t="shared" si="0"/>
        <v/>
      </c>
      <c r="H17" s="188"/>
      <c r="I17" s="186"/>
      <c r="J17" s="165"/>
      <c r="K17" s="261"/>
      <c r="L17" s="186"/>
      <c r="M17" s="186"/>
      <c r="N17" s="187"/>
      <c r="O17" s="187"/>
    </row>
    <row r="18" spans="2:15" x14ac:dyDescent="0.2">
      <c r="B18" s="185" t="str">
        <f>IF(ISBLANK('fiche groupe'!G28),"",'fiche groupe'!G28)</f>
        <v/>
      </c>
      <c r="C18" s="186"/>
      <c r="D18" s="186"/>
      <c r="E18" s="186"/>
      <c r="F18" s="187"/>
      <c r="G18" s="260" t="str">
        <f t="shared" si="0"/>
        <v/>
      </c>
      <c r="H18" s="188"/>
      <c r="I18" s="186"/>
      <c r="J18" s="165"/>
      <c r="K18" s="261"/>
      <c r="L18" s="186"/>
      <c r="M18" s="186"/>
      <c r="N18" s="187"/>
      <c r="O18" s="187"/>
    </row>
    <row r="20" spans="2:15" ht="17" thickBot="1" x14ac:dyDescent="0.25">
      <c r="B20" s="10" t="s">
        <v>130</v>
      </c>
    </row>
    <row r="21" spans="2:15" x14ac:dyDescent="0.2">
      <c r="B21" s="296"/>
      <c r="C21" s="297"/>
      <c r="D21" s="297"/>
      <c r="E21" s="297"/>
      <c r="F21" s="297"/>
      <c r="G21" s="297"/>
      <c r="H21" s="297"/>
      <c r="I21" s="298"/>
    </row>
    <row r="22" spans="2:15" x14ac:dyDescent="0.2">
      <c r="B22" s="299"/>
      <c r="C22" s="300"/>
      <c r="D22" s="300"/>
      <c r="E22" s="300"/>
      <c r="F22" s="300"/>
      <c r="G22" s="300"/>
      <c r="H22" s="300"/>
      <c r="I22" s="301"/>
    </row>
    <row r="23" spans="2:15" x14ac:dyDescent="0.2">
      <c r="B23" s="299"/>
      <c r="C23" s="300"/>
      <c r="D23" s="300"/>
      <c r="E23" s="300"/>
      <c r="F23" s="300"/>
      <c r="G23" s="300"/>
      <c r="H23" s="300"/>
      <c r="I23" s="301"/>
    </row>
    <row r="24" spans="2:15" ht="17" thickBot="1" x14ac:dyDescent="0.25">
      <c r="B24" s="302"/>
      <c r="C24" s="303"/>
      <c r="D24" s="303"/>
      <c r="E24" s="303"/>
      <c r="F24" s="303"/>
      <c r="G24" s="303"/>
      <c r="H24" s="303"/>
      <c r="I24" s="304"/>
    </row>
  </sheetData>
  <mergeCells count="1">
    <mergeCell ref="B21:I24"/>
  </mergeCells>
  <pageMargins left="0.7" right="0.7" top="0.75" bottom="0.75" header="0.3" footer="0.3"/>
  <pageSetup paperSize="9" scale="33" orientation="landscape" horizontalDpi="0" verticalDpi="0"/>
  <headerFooter scaleWithDoc="0">
    <oddHeader>&amp;L&amp;"Calibri,Normal"&amp;K000000&amp;F&amp;C&amp;"Calibri,Normal"&amp;K000000                                                   &amp;A&amp;R&amp;"Calibri,Normal"&amp;K000000&amp;P sur &amp;N</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B8B6EF42-8B23-C24E-954F-3BF199DC7A01}">
          <x14:formula1>
            <xm:f>Base!$A$1:$A$2</xm:f>
          </x14:formula1>
          <xm:sqref>N3:O18</xm:sqref>
        </x14:dataValidation>
        <x14:dataValidation type="list" showInputMessage="1" showErrorMessage="1" xr:uid="{C4F514BF-308C-0F48-A83A-931635C22C6C}">
          <x14:formula1>
            <xm:f>Base!$B$1:$B$193</xm:f>
          </x14:formula1>
          <xm:sqref>F3:F18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5F3C3-0CD4-D040-A581-917C0BFCB794}">
  <dimension ref="A1:I25"/>
  <sheetViews>
    <sheetView view="pageBreakPreview" topLeftCell="A14" zoomScale="88" zoomScaleNormal="100" zoomScaleSheetLayoutView="140" workbookViewId="0">
      <selection activeCell="G32" sqref="G32"/>
    </sheetView>
  </sheetViews>
  <sheetFormatPr baseColWidth="10" defaultRowHeight="16" x14ac:dyDescent="0.2"/>
  <sheetData>
    <row r="1" spans="1:9" ht="17" thickBot="1" x14ac:dyDescent="0.25">
      <c r="A1" s="64"/>
      <c r="B1" s="65"/>
      <c r="C1" s="65"/>
      <c r="D1" s="65"/>
      <c r="E1" s="65"/>
      <c r="F1" s="65"/>
      <c r="G1" s="65"/>
      <c r="H1" s="65"/>
      <c r="I1" s="66"/>
    </row>
    <row r="2" spans="1:9" x14ac:dyDescent="0.2">
      <c r="A2" s="71"/>
      <c r="B2" s="288" t="s">
        <v>486</v>
      </c>
      <c r="C2" s="289"/>
      <c r="D2" s="289"/>
      <c r="E2" s="289"/>
      <c r="F2" s="289"/>
      <c r="G2" s="289"/>
      <c r="H2" s="290"/>
      <c r="I2" s="72"/>
    </row>
    <row r="3" spans="1:9" ht="17" thickBot="1" x14ac:dyDescent="0.25">
      <c r="A3" s="71"/>
      <c r="B3" s="291"/>
      <c r="C3" s="292"/>
      <c r="D3" s="292"/>
      <c r="E3" s="292"/>
      <c r="F3" s="292"/>
      <c r="G3" s="292"/>
      <c r="H3" s="293"/>
      <c r="I3" s="72"/>
    </row>
    <row r="4" spans="1:9" x14ac:dyDescent="0.2">
      <c r="A4" s="71"/>
      <c r="I4" s="72"/>
    </row>
    <row r="5" spans="1:9" ht="17" thickBot="1" x14ac:dyDescent="0.25">
      <c r="A5" s="71"/>
      <c r="B5" t="s">
        <v>487</v>
      </c>
      <c r="C5" s="253"/>
      <c r="D5" s="253"/>
      <c r="E5" s="253"/>
      <c r="F5" s="253"/>
      <c r="G5" s="253"/>
      <c r="H5" s="253"/>
      <c r="I5" s="72"/>
    </row>
    <row r="6" spans="1:9" ht="149" customHeight="1" thickBot="1" x14ac:dyDescent="0.25">
      <c r="A6" s="71"/>
      <c r="B6" s="305" t="s">
        <v>489</v>
      </c>
      <c r="C6" s="308"/>
      <c r="D6" s="308"/>
      <c r="E6" s="308"/>
      <c r="F6" s="308"/>
      <c r="G6" s="308"/>
      <c r="H6" s="309"/>
      <c r="I6" s="72"/>
    </row>
    <row r="7" spans="1:9" x14ac:dyDescent="0.2">
      <c r="A7" s="71"/>
      <c r="I7" s="72"/>
    </row>
    <row r="8" spans="1:9" ht="17" thickBot="1" x14ac:dyDescent="0.25">
      <c r="A8" s="71"/>
      <c r="B8" t="s">
        <v>488</v>
      </c>
      <c r="C8" s="253"/>
      <c r="D8" s="253"/>
      <c r="E8" s="253"/>
      <c r="F8" s="253"/>
      <c r="G8" s="253"/>
      <c r="H8" s="253"/>
      <c r="I8" s="72"/>
    </row>
    <row r="9" spans="1:9" ht="154" customHeight="1" thickBot="1" x14ac:dyDescent="0.25">
      <c r="A9" s="71"/>
      <c r="B9" s="305" t="s">
        <v>490</v>
      </c>
      <c r="C9" s="306"/>
      <c r="D9" s="306"/>
      <c r="E9" s="306"/>
      <c r="F9" s="306"/>
      <c r="G9" s="306"/>
      <c r="H9" s="307"/>
      <c r="I9" s="72"/>
    </row>
    <row r="10" spans="1:9" x14ac:dyDescent="0.2">
      <c r="A10" s="71"/>
      <c r="I10" s="72"/>
    </row>
    <row r="11" spans="1:9" ht="17" thickBot="1" x14ac:dyDescent="0.25">
      <c r="A11" s="71"/>
      <c r="B11" t="s">
        <v>491</v>
      </c>
      <c r="I11" s="72"/>
    </row>
    <row r="12" spans="1:9" ht="107" customHeight="1" thickBot="1" x14ac:dyDescent="0.25">
      <c r="A12" s="71"/>
      <c r="B12" s="305" t="s">
        <v>492</v>
      </c>
      <c r="C12" s="306"/>
      <c r="D12" s="306"/>
      <c r="E12" s="306"/>
      <c r="F12" s="306"/>
      <c r="G12" s="306"/>
      <c r="H12" s="307"/>
      <c r="I12" s="72"/>
    </row>
    <row r="13" spans="1:9" x14ac:dyDescent="0.2">
      <c r="A13" s="71"/>
      <c r="I13" s="72"/>
    </row>
    <row r="14" spans="1:9" ht="31" customHeight="1" thickBot="1" x14ac:dyDescent="0.25">
      <c r="A14" s="71"/>
      <c r="B14" s="310" t="s">
        <v>493</v>
      </c>
      <c r="C14" s="310"/>
      <c r="D14" s="310"/>
      <c r="E14" s="310"/>
      <c r="F14" s="310"/>
      <c r="G14" s="310"/>
      <c r="H14" s="310"/>
      <c r="I14" s="72"/>
    </row>
    <row r="15" spans="1:9" ht="107" customHeight="1" thickBot="1" x14ac:dyDescent="0.25">
      <c r="A15" s="71"/>
      <c r="B15" s="305" t="s">
        <v>494</v>
      </c>
      <c r="C15" s="306"/>
      <c r="D15" s="306"/>
      <c r="E15" s="306"/>
      <c r="F15" s="306"/>
      <c r="G15" s="306"/>
      <c r="H15" s="307"/>
      <c r="I15" s="72"/>
    </row>
    <row r="16" spans="1:9" x14ac:dyDescent="0.2">
      <c r="A16" s="71"/>
      <c r="I16" s="72"/>
    </row>
    <row r="17" spans="1:9" ht="17" thickBot="1" x14ac:dyDescent="0.25">
      <c r="A17" s="71"/>
      <c r="B17" t="s">
        <v>495</v>
      </c>
      <c r="I17" s="72"/>
    </row>
    <row r="18" spans="1:9" ht="107" customHeight="1" thickBot="1" x14ac:dyDescent="0.25">
      <c r="A18" s="71"/>
      <c r="B18" s="305" t="s">
        <v>496</v>
      </c>
      <c r="C18" s="306"/>
      <c r="D18" s="306"/>
      <c r="E18" s="306"/>
      <c r="F18" s="306"/>
      <c r="G18" s="306"/>
      <c r="H18" s="307"/>
      <c r="I18" s="72"/>
    </row>
    <row r="19" spans="1:9" x14ac:dyDescent="0.2">
      <c r="A19" s="71"/>
      <c r="I19" s="72"/>
    </row>
    <row r="20" spans="1:9" ht="17" thickBot="1" x14ac:dyDescent="0.25">
      <c r="A20" s="71"/>
      <c r="B20" t="s">
        <v>497</v>
      </c>
      <c r="I20" s="72"/>
    </row>
    <row r="21" spans="1:9" ht="107" customHeight="1" thickBot="1" x14ac:dyDescent="0.25">
      <c r="A21" s="71"/>
      <c r="B21" s="305" t="s">
        <v>498</v>
      </c>
      <c r="C21" s="306"/>
      <c r="D21" s="306"/>
      <c r="E21" s="306"/>
      <c r="F21" s="306"/>
      <c r="G21" s="306"/>
      <c r="H21" s="307"/>
      <c r="I21" s="72"/>
    </row>
    <row r="22" spans="1:9" x14ac:dyDescent="0.2">
      <c r="A22" s="71"/>
      <c r="I22" s="72"/>
    </row>
    <row r="23" spans="1:9" ht="17" thickBot="1" x14ac:dyDescent="0.25">
      <c r="A23" s="71"/>
      <c r="B23" t="s">
        <v>499</v>
      </c>
      <c r="I23" s="72"/>
    </row>
    <row r="24" spans="1:9" ht="107" customHeight="1" thickBot="1" x14ac:dyDescent="0.25">
      <c r="A24" s="71"/>
      <c r="B24" s="305"/>
      <c r="C24" s="306"/>
      <c r="D24" s="306"/>
      <c r="E24" s="306"/>
      <c r="F24" s="306"/>
      <c r="G24" s="306"/>
      <c r="H24" s="307"/>
      <c r="I24" s="72"/>
    </row>
    <row r="25" spans="1:9" ht="17" thickBot="1" x14ac:dyDescent="0.25">
      <c r="A25" s="78"/>
      <c r="B25" s="79"/>
      <c r="C25" s="79"/>
      <c r="D25" s="79"/>
      <c r="E25" s="79"/>
      <c r="F25" s="79"/>
      <c r="G25" s="79"/>
      <c r="H25" s="79"/>
      <c r="I25" s="80"/>
    </row>
  </sheetData>
  <mergeCells count="9">
    <mergeCell ref="B18:H18"/>
    <mergeCell ref="B21:H21"/>
    <mergeCell ref="B24:H24"/>
    <mergeCell ref="B2:H3"/>
    <mergeCell ref="B6:H6"/>
    <mergeCell ref="B9:H9"/>
    <mergeCell ref="B12:H12"/>
    <mergeCell ref="B14:H14"/>
    <mergeCell ref="B15:H15"/>
  </mergeCells>
  <pageMargins left="0.7" right="0.7" top="0.75" bottom="0.75" header="0.3" footer="0.3"/>
  <pageSetup paperSize="9" scale="48" orientation="portrait" horizontalDpi="0" verticalDpi="0"/>
  <headerFooter scaleWithDoc="0">
    <oddHeader>&amp;L&amp;"Calibri,Normal"&amp;K000000&amp;F&amp;C&amp;"Calibri,Normal"&amp;K000000                                                   &amp;A&amp;R&amp;"Calibri,Normal"&amp;K000000&amp;P sur &amp;N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CC644-F507-4A4D-BFCC-85B69B8471FB}">
  <dimension ref="A1:AI38"/>
  <sheetViews>
    <sheetView view="pageBreakPreview" zoomScale="81" zoomScaleNormal="50" workbookViewId="0">
      <pane xSplit="1" topLeftCell="P1" activePane="topRight" state="frozen"/>
      <selection activeCell="I33" sqref="I33"/>
      <selection pane="topRight" activeCell="G32" sqref="G32"/>
    </sheetView>
  </sheetViews>
  <sheetFormatPr baseColWidth="10" defaultRowHeight="16" x14ac:dyDescent="0.2"/>
  <cols>
    <col min="2" max="2" width="16" customWidth="1"/>
    <col min="3" max="3" width="16.33203125" bestFit="1" customWidth="1"/>
    <col min="4" max="4" width="15.6640625" bestFit="1" customWidth="1"/>
    <col min="5" max="5" width="17.5" bestFit="1" customWidth="1"/>
    <col min="6" max="6" width="14" bestFit="1" customWidth="1"/>
    <col min="7" max="7" width="16.33203125" bestFit="1" customWidth="1"/>
    <col min="8" max="8" width="15.6640625" bestFit="1" customWidth="1"/>
    <col min="9" max="9" width="17.5" bestFit="1" customWidth="1"/>
    <col min="15" max="15" width="11.5" customWidth="1"/>
    <col min="17" max="18" width="12.1640625" customWidth="1"/>
    <col min="19" max="19" width="12.5" customWidth="1"/>
    <col min="20" max="20" width="15" customWidth="1"/>
    <col min="22" max="22" width="14.1640625" customWidth="1"/>
  </cols>
  <sheetData>
    <row r="1" spans="1:35" ht="17" thickBot="1" x14ac:dyDescent="0.25">
      <c r="A1" s="64"/>
      <c r="B1" s="65"/>
      <c r="C1" s="65"/>
      <c r="D1" s="65"/>
      <c r="E1" s="65"/>
      <c r="F1" s="65"/>
      <c r="G1" s="65"/>
      <c r="H1" s="65"/>
      <c r="I1" s="66"/>
      <c r="J1" s="64"/>
      <c r="K1" s="65"/>
      <c r="L1" s="65"/>
      <c r="M1" s="65"/>
      <c r="N1" s="65"/>
      <c r="O1" s="65"/>
      <c r="P1" s="65"/>
      <c r="Q1" s="65"/>
      <c r="R1" s="65"/>
      <c r="S1" s="65"/>
      <c r="T1" s="65"/>
      <c r="U1" s="65"/>
      <c r="V1" s="65"/>
      <c r="W1" s="66"/>
      <c r="X1" s="64"/>
      <c r="Y1" s="65"/>
      <c r="Z1" s="65"/>
      <c r="AA1" s="65"/>
      <c r="AB1" s="65"/>
      <c r="AC1" s="65"/>
      <c r="AD1" s="65"/>
      <c r="AE1" s="65"/>
      <c r="AF1" s="65"/>
      <c r="AG1" s="65"/>
      <c r="AH1" s="65"/>
      <c r="AI1" s="66"/>
    </row>
    <row r="2" spans="1:35" ht="17" thickBot="1" x14ac:dyDescent="0.25">
      <c r="A2" s="71"/>
      <c r="B2" s="271" t="s">
        <v>342</v>
      </c>
      <c r="C2" s="272"/>
      <c r="D2" s="272"/>
      <c r="E2" s="273"/>
      <c r="F2" s="319" t="s">
        <v>407</v>
      </c>
      <c r="G2" s="320"/>
      <c r="H2" s="320"/>
      <c r="I2" s="321"/>
      <c r="J2" s="319" t="s">
        <v>346</v>
      </c>
      <c r="K2" s="320"/>
      <c r="L2" s="320"/>
      <c r="M2" s="321"/>
      <c r="N2" s="319" t="s">
        <v>345</v>
      </c>
      <c r="O2" s="320"/>
      <c r="P2" s="320"/>
      <c r="Q2" s="321"/>
      <c r="R2" s="319" t="s">
        <v>354</v>
      </c>
      <c r="S2" s="320"/>
      <c r="T2" s="321"/>
      <c r="U2" s="84" t="s">
        <v>357</v>
      </c>
      <c r="V2" s="317" t="s">
        <v>414</v>
      </c>
      <c r="W2" s="72"/>
      <c r="X2" s="71"/>
      <c r="Y2" s="311" t="s">
        <v>502</v>
      </c>
      <c r="Z2" s="312"/>
      <c r="AA2" s="312"/>
      <c r="AB2" s="312"/>
      <c r="AC2" s="312"/>
      <c r="AD2" s="312"/>
      <c r="AE2" s="312"/>
      <c r="AF2" s="312"/>
      <c r="AG2" s="312"/>
      <c r="AH2" s="313"/>
      <c r="AI2" s="72"/>
    </row>
    <row r="3" spans="1:35" s="63" customFormat="1" ht="91" customHeight="1" thickBot="1" x14ac:dyDescent="0.25">
      <c r="A3" s="69"/>
      <c r="B3" s="81" t="s">
        <v>142</v>
      </c>
      <c r="C3" s="82" t="s">
        <v>343</v>
      </c>
      <c r="D3" s="82" t="s">
        <v>344</v>
      </c>
      <c r="E3" s="83" t="s">
        <v>341</v>
      </c>
      <c r="F3" s="81" t="s">
        <v>142</v>
      </c>
      <c r="G3" s="82" t="s">
        <v>343</v>
      </c>
      <c r="H3" s="82" t="s">
        <v>344</v>
      </c>
      <c r="I3" s="83" t="s">
        <v>341</v>
      </c>
      <c r="J3" s="81" t="s">
        <v>408</v>
      </c>
      <c r="K3" s="82" t="s">
        <v>411</v>
      </c>
      <c r="L3" s="82" t="s">
        <v>412</v>
      </c>
      <c r="M3" s="83" t="s">
        <v>347</v>
      </c>
      <c r="N3" s="81" t="s">
        <v>348</v>
      </c>
      <c r="O3" s="82" t="s">
        <v>349</v>
      </c>
      <c r="P3" s="82" t="s">
        <v>350</v>
      </c>
      <c r="Q3" s="83" t="s">
        <v>353</v>
      </c>
      <c r="R3" s="81" t="s">
        <v>351</v>
      </c>
      <c r="S3" s="82" t="s">
        <v>352</v>
      </c>
      <c r="T3" s="83" t="s">
        <v>355</v>
      </c>
      <c r="U3" s="91" t="s">
        <v>356</v>
      </c>
      <c r="V3" s="318"/>
      <c r="W3" s="70"/>
      <c r="X3" s="69"/>
      <c r="Y3" s="314" t="s">
        <v>503</v>
      </c>
      <c r="Z3" s="314"/>
      <c r="AA3" s="314"/>
      <c r="AB3" s="314"/>
      <c r="AC3" s="314"/>
      <c r="AD3" s="314"/>
      <c r="AE3" s="314"/>
      <c r="AF3" s="314"/>
      <c r="AG3" s="314"/>
      <c r="AH3" s="314"/>
      <c r="AI3" s="70"/>
    </row>
    <row r="4" spans="1:35" x14ac:dyDescent="0.2">
      <c r="A4" s="71"/>
      <c r="B4" s="203" t="s">
        <v>0</v>
      </c>
      <c r="C4" s="204" t="str">
        <f>IFERROR(VLOOKUP(B4,'Infos entités'!$B$3:$O$18,13,FALSE),"")</f>
        <v>OUI</v>
      </c>
      <c r="D4" s="204" t="str">
        <f>IFERROR(VLOOKUP(B4,'Infos entités'!$B$3:$O$18,6,FALSE),"")</f>
        <v>OUI</v>
      </c>
      <c r="E4" s="205" t="str">
        <f>IFERROR(VLOOKUP(B4,'Infos entités'!$B$3:$O$18,14,FALSE),"")</f>
        <v>NON</v>
      </c>
      <c r="F4" s="203" t="s">
        <v>1</v>
      </c>
      <c r="G4" s="204" t="str">
        <f>IFERROR(VLOOKUP(F4,'Infos entités'!$B$3:$O$18,13,FALSE),"")</f>
        <v>OUI</v>
      </c>
      <c r="H4" s="204" t="str">
        <f>IFERROR(VLOOKUP(F4,'Infos entités'!$B$3:$O$18,6,FALSE),"")</f>
        <v>OUI</v>
      </c>
      <c r="I4" s="205" t="str">
        <f>IFERROR(VLOOKUP(F4,'Infos entités'!$B$3:$O$18,14,FALSE),"")</f>
        <v>NON</v>
      </c>
      <c r="J4" s="212">
        <v>1</v>
      </c>
      <c r="K4" s="213">
        <v>1</v>
      </c>
      <c r="L4" s="210" t="s">
        <v>132</v>
      </c>
      <c r="M4" s="211" t="str">
        <f>IF(J4&gt;=50%,"OUI",IF(K4&gt;=50%,"OUI",IF(L4="OUI","OUI","NON")))</f>
        <v>OUI</v>
      </c>
      <c r="N4" s="209" t="s">
        <v>132</v>
      </c>
      <c r="O4" s="210" t="s">
        <v>132</v>
      </c>
      <c r="P4" s="210" t="s">
        <v>131</v>
      </c>
      <c r="Q4" s="211" t="str">
        <f>IF(N4="OUI","OUI",IF(O4="OUI","OUI",IF(P4="OUI","OUI","NON")))</f>
        <v>OUI</v>
      </c>
      <c r="R4" s="194" t="s">
        <v>131</v>
      </c>
      <c r="S4" s="191" t="s">
        <v>131</v>
      </c>
      <c r="T4" s="87" t="str">
        <f>IF(R4="OUI","OUI",IF(S4="OUI","OUI","NON"))</f>
        <v>OUI</v>
      </c>
      <c r="U4" s="206" t="str">
        <f>IF(AND(G4="OUI",H4="OUI",M4="OUI",Q4="OUI",T4="OUI"),"OUI","NON")</f>
        <v>OUI</v>
      </c>
      <c r="V4" s="189" t="s">
        <v>480</v>
      </c>
      <c r="W4" s="72"/>
      <c r="X4" s="71"/>
      <c r="Y4" s="245"/>
      <c r="AI4" s="72"/>
    </row>
    <row r="5" spans="1:35" x14ac:dyDescent="0.2">
      <c r="A5" s="71"/>
      <c r="B5" s="201" t="s">
        <v>0</v>
      </c>
      <c r="C5" s="88" t="str">
        <f>IFERROR(VLOOKUP(B5,'Infos entités'!$B$3:$O$18,13,FALSE),"")</f>
        <v>OUI</v>
      </c>
      <c r="D5" s="88" t="str">
        <f>IFERROR(VLOOKUP(B5,'Infos entités'!$B$3:$O$18,6,FALSE),"")</f>
        <v>OUI</v>
      </c>
      <c r="E5" s="85" t="str">
        <f>IFERROR(VLOOKUP(B5,'Infos entités'!$B$3:$O$18,14,FALSE),"")</f>
        <v>NON</v>
      </c>
      <c r="F5" s="201" t="s">
        <v>2</v>
      </c>
      <c r="G5" s="88" t="str">
        <f>IFERROR(VLOOKUP(F5,'Infos entités'!$B$3:$O$18,13,FALSE),"")</f>
        <v>OUI</v>
      </c>
      <c r="H5" s="88" t="str">
        <f>IFERROR(VLOOKUP(F5,'Infos entités'!$B$3:$O$18,6,FALSE),"")</f>
        <v>OUI</v>
      </c>
      <c r="I5" s="85" t="str">
        <f>IFERROR(VLOOKUP(F5,'Infos entités'!$B$3:$O$18,14,FALSE),"")</f>
        <v>NON</v>
      </c>
      <c r="J5" s="197">
        <v>1</v>
      </c>
      <c r="K5" s="198">
        <v>1</v>
      </c>
      <c r="L5" s="192" t="s">
        <v>132</v>
      </c>
      <c r="M5" s="87" t="str">
        <f t="shared" ref="M5:M18" si="0">IF(J5&gt;=50%,"OUI",IF(K5&gt;=50%,"OUI",IF(L5="OUI","OUI","NON")))</f>
        <v>OUI</v>
      </c>
      <c r="N5" s="195" t="s">
        <v>132</v>
      </c>
      <c r="O5" s="192" t="s">
        <v>132</v>
      </c>
      <c r="P5" s="192" t="s">
        <v>131</v>
      </c>
      <c r="Q5" s="87" t="str">
        <f t="shared" ref="Q5:Q18" si="1">IF(N5="OUI","OUI",IF(O5="OUI","OUI",IF(P5="OUI","OUI","NON")))</f>
        <v>OUI</v>
      </c>
      <c r="R5" s="195" t="s">
        <v>131</v>
      </c>
      <c r="S5" s="192" t="s">
        <v>131</v>
      </c>
      <c r="T5" s="87" t="str">
        <f t="shared" ref="T5:T18" si="2">IF(R5="OUI","OUI",IF(S5="OUI","OUI","NON"))</f>
        <v>OUI</v>
      </c>
      <c r="U5" s="207" t="str">
        <f t="shared" ref="U5:U18" si="3">IF(AND(G5="OUI",H5="OUI",M5="OUI",Q5="OUI",T5="OUI"),"OUI","NON")</f>
        <v>OUI</v>
      </c>
      <c r="V5" s="189" t="s">
        <v>480</v>
      </c>
      <c r="W5" s="72"/>
      <c r="X5" s="71"/>
      <c r="AI5" s="72"/>
    </row>
    <row r="6" spans="1:35" x14ac:dyDescent="0.2">
      <c r="A6" s="71"/>
      <c r="B6" s="201" t="s">
        <v>0</v>
      </c>
      <c r="C6" s="88" t="str">
        <f>IFERROR(VLOOKUP(B6,'Infos entités'!$B$3:$O$18,13,FALSE),"")</f>
        <v>OUI</v>
      </c>
      <c r="D6" s="88" t="str">
        <f>IFERROR(VLOOKUP(B6,'Infos entités'!$B$3:$O$18,6,FALSE),"")</f>
        <v>OUI</v>
      </c>
      <c r="E6" s="85" t="str">
        <f>IFERROR(VLOOKUP(B6,'Infos entités'!$B$3:$O$18,14,FALSE),"")</f>
        <v>NON</v>
      </c>
      <c r="F6" s="201" t="s">
        <v>3</v>
      </c>
      <c r="G6" s="88" t="str">
        <f>IFERROR(VLOOKUP(F6,'Infos entités'!$B$3:$O$18,13,FALSE),"")</f>
        <v>OUI</v>
      </c>
      <c r="H6" s="88" t="str">
        <f>IFERROR(VLOOKUP(F6,'Infos entités'!$B$3:$O$18,6,FALSE),"")</f>
        <v>OUI</v>
      </c>
      <c r="I6" s="85" t="str">
        <f>IFERROR(VLOOKUP(F6,'Infos entités'!$B$3:$O$18,14,FALSE),"")</f>
        <v>NON</v>
      </c>
      <c r="J6" s="197">
        <v>0.8</v>
      </c>
      <c r="K6" s="198">
        <v>0.8</v>
      </c>
      <c r="L6" s="192" t="s">
        <v>132</v>
      </c>
      <c r="M6" s="87" t="str">
        <f t="shared" si="0"/>
        <v>OUI</v>
      </c>
      <c r="N6" s="195" t="s">
        <v>132</v>
      </c>
      <c r="O6" s="192" t="s">
        <v>131</v>
      </c>
      <c r="P6" s="192" t="s">
        <v>132</v>
      </c>
      <c r="Q6" s="87" t="str">
        <f t="shared" si="1"/>
        <v>OUI</v>
      </c>
      <c r="R6" s="195" t="s">
        <v>131</v>
      </c>
      <c r="S6" s="192" t="s">
        <v>131</v>
      </c>
      <c r="T6" s="87" t="str">
        <f t="shared" si="2"/>
        <v>OUI</v>
      </c>
      <c r="U6" s="207" t="str">
        <f t="shared" si="3"/>
        <v>OUI</v>
      </c>
      <c r="V6" s="189" t="s">
        <v>480</v>
      </c>
      <c r="W6" s="72"/>
      <c r="X6" s="71"/>
      <c r="AI6" s="72"/>
    </row>
    <row r="7" spans="1:35" x14ac:dyDescent="0.2">
      <c r="A7" s="71"/>
      <c r="B7" s="201" t="s">
        <v>0</v>
      </c>
      <c r="C7" s="88" t="str">
        <f>IFERROR(VLOOKUP(B7,'Infos entités'!$B$3:$O$18,13,FALSE),"")</f>
        <v>OUI</v>
      </c>
      <c r="D7" s="88" t="str">
        <f>IFERROR(VLOOKUP(B7,'Infos entités'!$B$3:$O$18,6,FALSE),"")</f>
        <v>OUI</v>
      </c>
      <c r="E7" s="85" t="str">
        <f>IFERROR(VLOOKUP(B7,'Infos entités'!$B$3:$O$18,14,FALSE),"")</f>
        <v>NON</v>
      </c>
      <c r="F7" s="201" t="s">
        <v>443</v>
      </c>
      <c r="G7" s="88" t="str">
        <f>IFERROR(VLOOKUP(F7,'Infos entités'!$B$3:$O$18,13,FALSE),"")</f>
        <v>OUI</v>
      </c>
      <c r="H7" s="88" t="str">
        <f>IFERROR(VLOOKUP(F7,'Infos entités'!$B$3:$O$18,6,FALSE),"")</f>
        <v>NON</v>
      </c>
      <c r="I7" s="85" t="str">
        <f>IFERROR(VLOOKUP(F7,'Infos entités'!$B$3:$O$18,14,FALSE),"")</f>
        <v>NON</v>
      </c>
      <c r="J7" s="197">
        <v>0.55000000000000004</v>
      </c>
      <c r="K7" s="198">
        <v>0.55000000000000004</v>
      </c>
      <c r="L7" s="192" t="s">
        <v>132</v>
      </c>
      <c r="M7" s="87" t="str">
        <f t="shared" si="0"/>
        <v>OUI</v>
      </c>
      <c r="N7" s="195" t="s">
        <v>131</v>
      </c>
      <c r="O7" s="192" t="s">
        <v>131</v>
      </c>
      <c r="P7" s="192" t="s">
        <v>132</v>
      </c>
      <c r="Q7" s="87" t="str">
        <f t="shared" si="1"/>
        <v>OUI</v>
      </c>
      <c r="R7" s="195" t="s">
        <v>131</v>
      </c>
      <c r="S7" s="192" t="s">
        <v>131</v>
      </c>
      <c r="T7" s="87" t="str">
        <f t="shared" si="2"/>
        <v>OUI</v>
      </c>
      <c r="U7" s="207" t="str">
        <f t="shared" si="3"/>
        <v>NON</v>
      </c>
      <c r="V7" s="189" t="s">
        <v>480</v>
      </c>
      <c r="W7" s="72"/>
      <c r="X7" s="71"/>
      <c r="AI7" s="72"/>
    </row>
    <row r="8" spans="1:35" x14ac:dyDescent="0.2">
      <c r="A8" s="71"/>
      <c r="B8" s="201" t="s">
        <v>0</v>
      </c>
      <c r="C8" s="88" t="str">
        <f>IFERROR(VLOOKUP(B8,'Infos entités'!$B$3:$O$18,13,FALSE),"")</f>
        <v>OUI</v>
      </c>
      <c r="D8" s="88" t="str">
        <f>IFERROR(VLOOKUP(B8,'Infos entités'!$B$3:$O$18,6,FALSE),"")</f>
        <v>OUI</v>
      </c>
      <c r="E8" s="85" t="str">
        <f>IFERROR(VLOOKUP(B8,'Infos entités'!$B$3:$O$18,14,FALSE),"")</f>
        <v>NON</v>
      </c>
      <c r="F8" s="201" t="s">
        <v>442</v>
      </c>
      <c r="G8" s="88" t="str">
        <f>IFERROR(VLOOKUP(F8,'Infos entités'!$B$3:$O$18,13,FALSE),"")</f>
        <v>OUI</v>
      </c>
      <c r="H8" s="88" t="str">
        <f>IFERROR(VLOOKUP(F8,'Infos entités'!$B$3:$O$18,6,FALSE),"")</f>
        <v>OUI</v>
      </c>
      <c r="I8" s="85" t="str">
        <f>IFERROR(VLOOKUP(F8,'Infos entités'!$B$3:$O$18,14,FALSE),"")</f>
        <v>OUI</v>
      </c>
      <c r="J8" s="197">
        <v>0.35</v>
      </c>
      <c r="K8" s="198">
        <v>0.35</v>
      </c>
      <c r="L8" s="192" t="s">
        <v>132</v>
      </c>
      <c r="M8" s="87" t="str">
        <f t="shared" si="0"/>
        <v>NON</v>
      </c>
      <c r="N8" s="195" t="s">
        <v>131</v>
      </c>
      <c r="O8" s="192" t="s">
        <v>131</v>
      </c>
      <c r="P8" s="192" t="s">
        <v>132</v>
      </c>
      <c r="Q8" s="87" t="str">
        <f t="shared" si="1"/>
        <v>OUI</v>
      </c>
      <c r="R8" s="195" t="s">
        <v>131</v>
      </c>
      <c r="S8" s="192" t="s">
        <v>131</v>
      </c>
      <c r="T8" s="87" t="str">
        <f t="shared" si="2"/>
        <v>OUI</v>
      </c>
      <c r="U8" s="207" t="str">
        <f t="shared" si="3"/>
        <v>NON</v>
      </c>
      <c r="V8" s="189" t="s">
        <v>480</v>
      </c>
      <c r="W8" s="72"/>
      <c r="X8" s="71"/>
      <c r="AI8" s="72"/>
    </row>
    <row r="9" spans="1:35" x14ac:dyDescent="0.2">
      <c r="A9" s="71"/>
      <c r="B9" s="201" t="s">
        <v>443</v>
      </c>
      <c r="C9" s="88" t="str">
        <f>IFERROR(VLOOKUP(B9,'Infos entités'!$B$3:$O$18,13,FALSE),"")</f>
        <v>OUI</v>
      </c>
      <c r="D9" s="88" t="str">
        <f>IFERROR(VLOOKUP(B9,'Infos entités'!$B$3:$O$18,6,FALSE),"")</f>
        <v>NON</v>
      </c>
      <c r="E9" s="85" t="str">
        <f>IFERROR(VLOOKUP(B9,'Infos entités'!$B$3:$O$18,14,FALSE),"")</f>
        <v>NON</v>
      </c>
      <c r="F9" s="201" t="s">
        <v>4</v>
      </c>
      <c r="G9" s="88" t="str">
        <f>IFERROR(VLOOKUP(F9,'Infos entités'!$B$3:$O$18,13,FALSE),"")</f>
        <v>OUI</v>
      </c>
      <c r="H9" s="88" t="str">
        <f>IFERROR(VLOOKUP(F9,'Infos entités'!$B$3:$O$18,6,FALSE),"")</f>
        <v>OUI</v>
      </c>
      <c r="I9" s="85" t="str">
        <f>IFERROR(VLOOKUP(F9,'Infos entités'!$B$3:$O$18,14,FALSE),"")</f>
        <v>NON</v>
      </c>
      <c r="J9" s="197">
        <v>1</v>
      </c>
      <c r="K9" s="198">
        <v>1</v>
      </c>
      <c r="L9" s="192" t="s">
        <v>132</v>
      </c>
      <c r="M9" s="87" t="str">
        <f t="shared" si="0"/>
        <v>OUI</v>
      </c>
      <c r="N9" s="195" t="s">
        <v>131</v>
      </c>
      <c r="O9" s="192" t="s">
        <v>131</v>
      </c>
      <c r="P9" s="192" t="s">
        <v>132</v>
      </c>
      <c r="Q9" s="87" t="str">
        <f t="shared" si="1"/>
        <v>OUI</v>
      </c>
      <c r="R9" s="195" t="s">
        <v>131</v>
      </c>
      <c r="S9" s="192" t="s">
        <v>131</v>
      </c>
      <c r="T9" s="87" t="str">
        <f t="shared" si="2"/>
        <v>OUI</v>
      </c>
      <c r="U9" s="207" t="str">
        <f t="shared" si="3"/>
        <v>OUI</v>
      </c>
      <c r="V9" s="189" t="s">
        <v>480</v>
      </c>
      <c r="W9" s="72"/>
      <c r="X9" s="71"/>
      <c r="AI9" s="72"/>
    </row>
    <row r="10" spans="1:35" x14ac:dyDescent="0.2">
      <c r="A10" s="71"/>
      <c r="B10" s="201"/>
      <c r="C10" s="88" t="str">
        <f>IFERROR(VLOOKUP(B10,'Infos entités'!$B$3:$O$18,13,FALSE),"")</f>
        <v/>
      </c>
      <c r="D10" s="88" t="str">
        <f>IFERROR(VLOOKUP(B10,'Infos entités'!$B$3:$O$18,6,FALSE),"")</f>
        <v/>
      </c>
      <c r="E10" s="85" t="str">
        <f>IFERROR(VLOOKUP(B10,'Infos entités'!$B$3:$O$18,14,FALSE),"")</f>
        <v/>
      </c>
      <c r="F10" s="201"/>
      <c r="G10" s="88" t="str">
        <f>IFERROR(VLOOKUP(F10,'Infos entités'!$B$3:$O$18,13,FALSE),"")</f>
        <v/>
      </c>
      <c r="H10" s="88" t="str">
        <f>IFERROR(VLOOKUP(F10,'Infos entités'!$B$3:$O$18,6,FALSE),"")</f>
        <v/>
      </c>
      <c r="I10" s="85" t="str">
        <f>IFERROR(VLOOKUP(F10,'Infos entités'!$B$3:$O$18,14,FALSE),"")</f>
        <v/>
      </c>
      <c r="J10" s="197"/>
      <c r="K10" s="198"/>
      <c r="L10" s="192"/>
      <c r="M10" s="87" t="str">
        <f t="shared" si="0"/>
        <v>NON</v>
      </c>
      <c r="N10" s="195"/>
      <c r="O10" s="192"/>
      <c r="P10" s="192"/>
      <c r="Q10" s="87" t="str">
        <f t="shared" si="1"/>
        <v>NON</v>
      </c>
      <c r="R10" s="195"/>
      <c r="S10" s="192"/>
      <c r="T10" s="87" t="str">
        <f t="shared" si="2"/>
        <v>NON</v>
      </c>
      <c r="U10" s="207" t="str">
        <f t="shared" si="3"/>
        <v>NON</v>
      </c>
      <c r="V10" s="189"/>
      <c r="W10" s="72"/>
      <c r="X10" s="71"/>
      <c r="AI10" s="72"/>
    </row>
    <row r="11" spans="1:35" x14ac:dyDescent="0.2">
      <c r="A11" s="71"/>
      <c r="B11" s="201"/>
      <c r="C11" s="88" t="str">
        <f>IFERROR(VLOOKUP(B11,'Infos entités'!$B$3:$O$18,13,FALSE),"")</f>
        <v/>
      </c>
      <c r="D11" s="88" t="str">
        <f>IFERROR(VLOOKUP(B11,'Infos entités'!$B$3:$O$18,6,FALSE),"")</f>
        <v/>
      </c>
      <c r="E11" s="85" t="str">
        <f>IFERROR(VLOOKUP(B11,'Infos entités'!$B$3:$O$18,14,FALSE),"")</f>
        <v/>
      </c>
      <c r="F11" s="201"/>
      <c r="G11" s="88" t="str">
        <f>IFERROR(VLOOKUP(F11,'Infos entités'!$B$3:$O$18,13,FALSE),"")</f>
        <v/>
      </c>
      <c r="H11" s="88" t="str">
        <f>IFERROR(VLOOKUP(F11,'Infos entités'!$B$3:$O$18,6,FALSE),"")</f>
        <v/>
      </c>
      <c r="I11" s="85" t="str">
        <f>IFERROR(VLOOKUP(F11,'Infos entités'!$B$3:$O$18,14,FALSE),"")</f>
        <v/>
      </c>
      <c r="J11" s="197"/>
      <c r="K11" s="198"/>
      <c r="L11" s="192"/>
      <c r="M11" s="87" t="str">
        <f t="shared" si="0"/>
        <v>NON</v>
      </c>
      <c r="N11" s="195"/>
      <c r="O11" s="192"/>
      <c r="P11" s="192"/>
      <c r="Q11" s="87" t="str">
        <f t="shared" si="1"/>
        <v>NON</v>
      </c>
      <c r="R11" s="195"/>
      <c r="S11" s="192"/>
      <c r="T11" s="87" t="str">
        <f t="shared" si="2"/>
        <v>NON</v>
      </c>
      <c r="U11" s="207" t="str">
        <f t="shared" si="3"/>
        <v>NON</v>
      </c>
      <c r="V11" s="189"/>
      <c r="W11" s="72"/>
      <c r="X11" s="71"/>
      <c r="AI11" s="72"/>
    </row>
    <row r="12" spans="1:35" x14ac:dyDescent="0.2">
      <c r="A12" s="71"/>
      <c r="B12" s="201"/>
      <c r="C12" s="88" t="str">
        <f>IFERROR(VLOOKUP(B12,'Infos entités'!$B$3:$O$18,13,FALSE),"")</f>
        <v/>
      </c>
      <c r="D12" s="88" t="str">
        <f>IFERROR(VLOOKUP(B12,'Infos entités'!$B$3:$O$18,6,FALSE),"")</f>
        <v/>
      </c>
      <c r="E12" s="85" t="str">
        <f>IFERROR(VLOOKUP(B12,'Infos entités'!$B$3:$O$18,14,FALSE),"")</f>
        <v/>
      </c>
      <c r="F12" s="201"/>
      <c r="G12" s="88" t="str">
        <f>IFERROR(VLOOKUP(F12,'Infos entités'!$B$3:$O$18,13,FALSE),"")</f>
        <v/>
      </c>
      <c r="H12" s="88" t="str">
        <f>IFERROR(VLOOKUP(F12,'Infos entités'!$B$3:$O$18,6,FALSE),"")</f>
        <v/>
      </c>
      <c r="I12" s="85" t="str">
        <f>IFERROR(VLOOKUP(F12,'Infos entités'!$B$3:$O$18,14,FALSE),"")</f>
        <v/>
      </c>
      <c r="J12" s="197"/>
      <c r="K12" s="198"/>
      <c r="L12" s="192"/>
      <c r="M12" s="87" t="str">
        <f t="shared" si="0"/>
        <v>NON</v>
      </c>
      <c r="N12" s="195"/>
      <c r="O12" s="192"/>
      <c r="P12" s="192"/>
      <c r="Q12" s="87" t="str">
        <f t="shared" si="1"/>
        <v>NON</v>
      </c>
      <c r="R12" s="195"/>
      <c r="S12" s="192"/>
      <c r="T12" s="87" t="str">
        <f t="shared" si="2"/>
        <v>NON</v>
      </c>
      <c r="U12" s="207" t="str">
        <f t="shared" si="3"/>
        <v>NON</v>
      </c>
      <c r="V12" s="189"/>
      <c r="W12" s="72"/>
      <c r="X12" s="71"/>
      <c r="AI12" s="72"/>
    </row>
    <row r="13" spans="1:35" x14ac:dyDescent="0.2">
      <c r="A13" s="71"/>
      <c r="B13" s="201"/>
      <c r="C13" s="88" t="str">
        <f>IFERROR(VLOOKUP(B13,'Infos entités'!$B$3:$O$18,13,FALSE),"")</f>
        <v/>
      </c>
      <c r="D13" s="88" t="str">
        <f>IFERROR(VLOOKUP(B13,'Infos entités'!$B$3:$O$18,6,FALSE),"")</f>
        <v/>
      </c>
      <c r="E13" s="85" t="str">
        <f>IFERROR(VLOOKUP(B13,'Infos entités'!$B$3:$O$18,14,FALSE),"")</f>
        <v/>
      </c>
      <c r="F13" s="201"/>
      <c r="G13" s="88" t="str">
        <f>IFERROR(VLOOKUP(F13,'Infos entités'!$B$3:$O$18,13,FALSE),"")</f>
        <v/>
      </c>
      <c r="H13" s="88" t="str">
        <f>IFERROR(VLOOKUP(F13,'Infos entités'!$B$3:$O$18,6,FALSE),"")</f>
        <v/>
      </c>
      <c r="I13" s="85" t="str">
        <f>IFERROR(VLOOKUP(F13,'Infos entités'!$B$3:$O$18,14,FALSE),"")</f>
        <v/>
      </c>
      <c r="J13" s="197"/>
      <c r="K13" s="198"/>
      <c r="L13" s="192"/>
      <c r="M13" s="87" t="str">
        <f t="shared" si="0"/>
        <v>NON</v>
      </c>
      <c r="N13" s="195"/>
      <c r="O13" s="192"/>
      <c r="P13" s="192"/>
      <c r="Q13" s="87" t="str">
        <f t="shared" si="1"/>
        <v>NON</v>
      </c>
      <c r="R13" s="195"/>
      <c r="S13" s="192"/>
      <c r="T13" s="87" t="str">
        <f t="shared" si="2"/>
        <v>NON</v>
      </c>
      <c r="U13" s="207" t="str">
        <f t="shared" si="3"/>
        <v>NON</v>
      </c>
      <c r="V13" s="189"/>
      <c r="W13" s="72"/>
      <c r="X13" s="71"/>
      <c r="AI13" s="72"/>
    </row>
    <row r="14" spans="1:35" x14ac:dyDescent="0.2">
      <c r="A14" s="71"/>
      <c r="B14" s="201"/>
      <c r="C14" s="88" t="str">
        <f>IFERROR(VLOOKUP(B14,'Infos entités'!$B$3:$O$18,13,FALSE),"")</f>
        <v/>
      </c>
      <c r="D14" s="88" t="str">
        <f>IFERROR(VLOOKUP(B14,'Infos entités'!$B$3:$O$18,6,FALSE),"")</f>
        <v/>
      </c>
      <c r="E14" s="85" t="str">
        <f>IFERROR(VLOOKUP(B14,'Infos entités'!$B$3:$O$18,14,FALSE),"")</f>
        <v/>
      </c>
      <c r="F14" s="201"/>
      <c r="G14" s="88" t="str">
        <f>IFERROR(VLOOKUP(F14,'Infos entités'!$B$3:$O$18,13,FALSE),"")</f>
        <v/>
      </c>
      <c r="H14" s="88" t="str">
        <f>IFERROR(VLOOKUP(F14,'Infos entités'!$B$3:$O$18,6,FALSE),"")</f>
        <v/>
      </c>
      <c r="I14" s="85" t="str">
        <f>IFERROR(VLOOKUP(F14,'Infos entités'!$B$3:$O$18,14,FALSE),"")</f>
        <v/>
      </c>
      <c r="J14" s="197"/>
      <c r="K14" s="198"/>
      <c r="L14" s="192"/>
      <c r="M14" s="87" t="str">
        <f t="shared" si="0"/>
        <v>NON</v>
      </c>
      <c r="N14" s="195"/>
      <c r="O14" s="192"/>
      <c r="P14" s="192"/>
      <c r="Q14" s="87" t="str">
        <f t="shared" si="1"/>
        <v>NON</v>
      </c>
      <c r="R14" s="195"/>
      <c r="S14" s="192"/>
      <c r="T14" s="87" t="str">
        <f t="shared" si="2"/>
        <v>NON</v>
      </c>
      <c r="U14" s="207" t="str">
        <f t="shared" si="3"/>
        <v>NON</v>
      </c>
      <c r="V14" s="189"/>
      <c r="W14" s="72"/>
      <c r="X14" s="71"/>
      <c r="AI14" s="72"/>
    </row>
    <row r="15" spans="1:35" x14ac:dyDescent="0.2">
      <c r="A15" s="71"/>
      <c r="B15" s="201"/>
      <c r="C15" s="88" t="str">
        <f>IFERROR(VLOOKUP(B15,'Infos entités'!$B$3:$O$18,13,FALSE),"")</f>
        <v/>
      </c>
      <c r="D15" s="88" t="str">
        <f>IFERROR(VLOOKUP(B15,'Infos entités'!$B$3:$O$18,6,FALSE),"")</f>
        <v/>
      </c>
      <c r="E15" s="85" t="str">
        <f>IFERROR(VLOOKUP(B15,'Infos entités'!$B$3:$O$18,14,FALSE),"")</f>
        <v/>
      </c>
      <c r="F15" s="201"/>
      <c r="G15" s="88" t="str">
        <f>IFERROR(VLOOKUP(F15,'Infos entités'!$B$3:$O$18,13,FALSE),"")</f>
        <v/>
      </c>
      <c r="H15" s="88" t="str">
        <f>IFERROR(VLOOKUP(F15,'Infos entités'!$B$3:$O$18,6,FALSE),"")</f>
        <v/>
      </c>
      <c r="I15" s="85" t="str">
        <f>IFERROR(VLOOKUP(F15,'Infos entités'!$B$3:$O$18,14,FALSE),"")</f>
        <v/>
      </c>
      <c r="J15" s="197"/>
      <c r="K15" s="198"/>
      <c r="L15" s="192"/>
      <c r="M15" s="87" t="str">
        <f t="shared" si="0"/>
        <v>NON</v>
      </c>
      <c r="N15" s="195"/>
      <c r="O15" s="192"/>
      <c r="P15" s="192"/>
      <c r="Q15" s="87" t="str">
        <f t="shared" si="1"/>
        <v>NON</v>
      </c>
      <c r="R15" s="195"/>
      <c r="S15" s="192"/>
      <c r="T15" s="87" t="str">
        <f t="shared" si="2"/>
        <v>NON</v>
      </c>
      <c r="U15" s="207" t="str">
        <f t="shared" si="3"/>
        <v>NON</v>
      </c>
      <c r="V15" s="189"/>
      <c r="W15" s="72"/>
      <c r="X15" s="71"/>
      <c r="AI15" s="72"/>
    </row>
    <row r="16" spans="1:35" x14ac:dyDescent="0.2">
      <c r="A16" s="71"/>
      <c r="B16" s="201"/>
      <c r="C16" s="88" t="str">
        <f>IFERROR(VLOOKUP(B16,'Infos entités'!$B$3:$O$18,13,FALSE),"")</f>
        <v/>
      </c>
      <c r="D16" s="88" t="str">
        <f>IFERROR(VLOOKUP(B16,'Infos entités'!$B$3:$O$18,6,FALSE),"")</f>
        <v/>
      </c>
      <c r="E16" s="85" t="str">
        <f>IFERROR(VLOOKUP(B16,'Infos entités'!$B$3:$O$18,14,FALSE),"")</f>
        <v/>
      </c>
      <c r="F16" s="201"/>
      <c r="G16" s="88" t="str">
        <f>IFERROR(VLOOKUP(F16,'Infos entités'!$B$3:$O$18,13,FALSE),"")</f>
        <v/>
      </c>
      <c r="H16" s="88" t="str">
        <f>IFERROR(VLOOKUP(F16,'Infos entités'!$B$3:$O$18,6,FALSE),"")</f>
        <v/>
      </c>
      <c r="I16" s="85" t="str">
        <f>IFERROR(VLOOKUP(F16,'Infos entités'!$B$3:$O$18,14,FALSE),"")</f>
        <v/>
      </c>
      <c r="J16" s="197"/>
      <c r="K16" s="198"/>
      <c r="L16" s="192"/>
      <c r="M16" s="87" t="str">
        <f t="shared" si="0"/>
        <v>NON</v>
      </c>
      <c r="N16" s="195"/>
      <c r="O16" s="192"/>
      <c r="P16" s="192"/>
      <c r="Q16" s="87" t="str">
        <f t="shared" si="1"/>
        <v>NON</v>
      </c>
      <c r="R16" s="195"/>
      <c r="S16" s="192"/>
      <c r="T16" s="87" t="str">
        <f t="shared" si="2"/>
        <v>NON</v>
      </c>
      <c r="U16" s="207" t="str">
        <f t="shared" si="3"/>
        <v>NON</v>
      </c>
      <c r="V16" s="189"/>
      <c r="W16" s="72"/>
      <c r="X16" s="71"/>
      <c r="AI16" s="72"/>
    </row>
    <row r="17" spans="1:35" x14ac:dyDescent="0.2">
      <c r="A17" s="71"/>
      <c r="B17" s="201"/>
      <c r="C17" s="88" t="str">
        <f>IFERROR(VLOOKUP(B17,'Infos entités'!$B$3:$O$18,13,FALSE),"")</f>
        <v/>
      </c>
      <c r="D17" s="88" t="str">
        <f>IFERROR(VLOOKUP(B17,'Infos entités'!$B$3:$O$18,6,FALSE),"")</f>
        <v/>
      </c>
      <c r="E17" s="85" t="str">
        <f>IFERROR(VLOOKUP(B17,'Infos entités'!$B$3:$O$18,14,FALSE),"")</f>
        <v/>
      </c>
      <c r="F17" s="201"/>
      <c r="G17" s="88" t="str">
        <f>IFERROR(VLOOKUP(F17,'Infos entités'!$B$3:$O$18,13,FALSE),"")</f>
        <v/>
      </c>
      <c r="H17" s="88" t="str">
        <f>IFERROR(VLOOKUP(F17,'Infos entités'!$B$3:$O$18,6,FALSE),"")</f>
        <v/>
      </c>
      <c r="I17" s="85" t="str">
        <f>IFERROR(VLOOKUP(F17,'Infos entités'!$B$3:$O$18,14,FALSE),"")</f>
        <v/>
      </c>
      <c r="J17" s="197"/>
      <c r="K17" s="198"/>
      <c r="L17" s="192"/>
      <c r="M17" s="87" t="str">
        <f t="shared" si="0"/>
        <v>NON</v>
      </c>
      <c r="N17" s="195"/>
      <c r="O17" s="192"/>
      <c r="P17" s="192"/>
      <c r="Q17" s="87" t="str">
        <f t="shared" si="1"/>
        <v>NON</v>
      </c>
      <c r="R17" s="195"/>
      <c r="S17" s="192"/>
      <c r="T17" s="87" t="str">
        <f t="shared" si="2"/>
        <v>NON</v>
      </c>
      <c r="U17" s="207" t="str">
        <f t="shared" si="3"/>
        <v>NON</v>
      </c>
      <c r="V17" s="189"/>
      <c r="W17" s="72"/>
      <c r="X17" s="71"/>
      <c r="AI17" s="72"/>
    </row>
    <row r="18" spans="1:35" ht="17" thickBot="1" x14ac:dyDescent="0.25">
      <c r="A18" s="71"/>
      <c r="B18" s="202"/>
      <c r="C18" s="89" t="str">
        <f>IFERROR(VLOOKUP(B18,'Infos entités'!$B$3:$O$18,13,FALSE),"")</f>
        <v/>
      </c>
      <c r="D18" s="89" t="str">
        <f>IFERROR(VLOOKUP(B18,'Infos entités'!$B$3:$O$18,6,FALSE),"")</f>
        <v/>
      </c>
      <c r="E18" s="86" t="str">
        <f>IFERROR(VLOOKUP(B18,'Infos entités'!$B$3:$O$18,14,FALSE),"")</f>
        <v/>
      </c>
      <c r="F18" s="202"/>
      <c r="G18" s="89" t="str">
        <f>IFERROR(VLOOKUP(F18,'Infos entités'!$B$3:$O$18,13,FALSE),"")</f>
        <v/>
      </c>
      <c r="H18" s="89" t="str">
        <f>IFERROR(VLOOKUP(F18,'Infos entités'!$B$3:$O$18,6,FALSE),"")</f>
        <v/>
      </c>
      <c r="I18" s="86" t="str">
        <f>IFERROR(VLOOKUP(F18,'Infos entités'!$B$3:$O$18,14,FALSE),"")</f>
        <v/>
      </c>
      <c r="J18" s="199"/>
      <c r="K18" s="200"/>
      <c r="L18" s="193"/>
      <c r="M18" s="90" t="str">
        <f t="shared" si="0"/>
        <v>NON</v>
      </c>
      <c r="N18" s="196"/>
      <c r="O18" s="193"/>
      <c r="P18" s="193"/>
      <c r="Q18" s="90" t="str">
        <f t="shared" si="1"/>
        <v>NON</v>
      </c>
      <c r="R18" s="196"/>
      <c r="S18" s="193"/>
      <c r="T18" s="90" t="str">
        <f t="shared" si="2"/>
        <v>NON</v>
      </c>
      <c r="U18" s="208" t="str">
        <f t="shared" si="3"/>
        <v>NON</v>
      </c>
      <c r="V18" s="190"/>
      <c r="W18" s="72"/>
      <c r="X18" s="71"/>
      <c r="AI18" s="72"/>
    </row>
    <row r="19" spans="1:35" x14ac:dyDescent="0.2">
      <c r="A19" s="71"/>
      <c r="I19" s="72"/>
      <c r="J19" s="71"/>
      <c r="W19" s="72"/>
      <c r="X19" s="71"/>
      <c r="AI19" s="72"/>
    </row>
    <row r="20" spans="1:35" ht="20" customHeight="1" x14ac:dyDescent="0.2">
      <c r="A20" s="71"/>
      <c r="B20" s="315" t="s">
        <v>409</v>
      </c>
      <c r="C20" s="315"/>
      <c r="D20" s="315"/>
      <c r="E20" s="315"/>
      <c r="F20" s="315"/>
      <c r="G20" s="315"/>
      <c r="H20" s="315"/>
      <c r="I20" s="316"/>
      <c r="J20" s="71"/>
      <c r="W20" s="72"/>
      <c r="X20" s="71"/>
      <c r="AI20" s="72"/>
    </row>
    <row r="21" spans="1:35" ht="17" customHeight="1" thickBot="1" x14ac:dyDescent="0.25">
      <c r="A21" s="71"/>
      <c r="B21" s="315" t="s">
        <v>410</v>
      </c>
      <c r="C21" s="315"/>
      <c r="D21" s="315"/>
      <c r="E21" s="315"/>
      <c r="F21" s="315"/>
      <c r="G21" s="315"/>
      <c r="H21" s="315"/>
      <c r="I21" s="316"/>
      <c r="J21" s="71"/>
      <c r="K21" s="244" t="s">
        <v>416</v>
      </c>
      <c r="W21" s="72"/>
      <c r="X21" s="71"/>
      <c r="AI21" s="72"/>
    </row>
    <row r="22" spans="1:35" ht="113" customHeight="1" thickBot="1" x14ac:dyDescent="0.25">
      <c r="A22" s="71"/>
      <c r="B22" s="315" t="s">
        <v>413</v>
      </c>
      <c r="C22" s="315"/>
      <c r="D22" s="315"/>
      <c r="E22" s="315"/>
      <c r="F22" s="315"/>
      <c r="G22" s="315"/>
      <c r="H22" s="315"/>
      <c r="I22" s="316"/>
      <c r="J22" s="71"/>
      <c r="K22" s="305" t="s">
        <v>481</v>
      </c>
      <c r="L22" s="308"/>
      <c r="M22" s="308"/>
      <c r="N22" s="308"/>
      <c r="O22" s="308"/>
      <c r="P22" s="308"/>
      <c r="Q22" s="308"/>
      <c r="R22" s="308"/>
      <c r="S22" s="308"/>
      <c r="T22" s="308"/>
      <c r="U22" s="309"/>
      <c r="W22" s="72"/>
      <c r="X22" s="71"/>
      <c r="AI22" s="72"/>
    </row>
    <row r="23" spans="1:35" ht="17" thickBot="1" x14ac:dyDescent="0.25">
      <c r="A23" s="78"/>
      <c r="B23" s="251"/>
      <c r="C23" s="252"/>
      <c r="D23" s="79"/>
      <c r="E23" s="79"/>
      <c r="F23" s="79"/>
      <c r="G23" s="79"/>
      <c r="H23" s="79"/>
      <c r="I23" s="80"/>
      <c r="J23" s="78"/>
      <c r="K23" s="79"/>
      <c r="L23" s="79"/>
      <c r="M23" s="79"/>
      <c r="N23" s="79"/>
      <c r="O23" s="79"/>
      <c r="P23" s="79"/>
      <c r="Q23" s="79"/>
      <c r="R23" s="79"/>
      <c r="S23" s="79"/>
      <c r="T23" s="79"/>
      <c r="U23" s="79"/>
      <c r="V23" s="79"/>
      <c r="W23" s="80"/>
      <c r="X23" s="78"/>
      <c r="Y23" s="79"/>
      <c r="Z23" s="79"/>
      <c r="AA23" s="79"/>
      <c r="AB23" s="79"/>
      <c r="AC23" s="79"/>
      <c r="AD23" s="79"/>
      <c r="AE23" s="79"/>
      <c r="AF23" s="79"/>
      <c r="AG23" s="79"/>
      <c r="AH23" s="79"/>
      <c r="AI23" s="80"/>
    </row>
    <row r="31" spans="1:35" x14ac:dyDescent="0.2">
      <c r="B31" t="str" cm="1">
        <f t="array" ref="B31:C31">IF(ISBLANK('fiche groupe'!G20:H20),"",'fiche groupe'!G20:H20)</f>
        <v/>
      </c>
      <c r="C31" t="str">
        <v/>
      </c>
    </row>
    <row r="32" spans="1:35" x14ac:dyDescent="0.2">
      <c r="B32" t="str" cm="1">
        <f t="array" ref="B32:C32">IF(ISBLANK('fiche groupe'!G21:H21),"",'fiche groupe'!G21:H21)</f>
        <v/>
      </c>
      <c r="C32" t="str">
        <v/>
      </c>
    </row>
    <row r="33" spans="2:3" x14ac:dyDescent="0.2">
      <c r="B33" t="str" cm="1">
        <f t="array" ref="B33:C33">IF(ISBLANK('fiche groupe'!G22:H22),"",'fiche groupe'!G22:H22)</f>
        <v/>
      </c>
      <c r="C33" t="str">
        <v/>
      </c>
    </row>
    <row r="34" spans="2:3" x14ac:dyDescent="0.2">
      <c r="B34" t="str" cm="1">
        <f t="array" ref="B34:C34">IF(ISBLANK('fiche groupe'!G23:H23),"",'fiche groupe'!G23:H23)</f>
        <v/>
      </c>
      <c r="C34" t="str">
        <v/>
      </c>
    </row>
    <row r="35" spans="2:3" x14ac:dyDescent="0.2">
      <c r="B35" t="str" cm="1">
        <f t="array" ref="B35:C35">IF(ISBLANK('fiche groupe'!G24:H24),"",'fiche groupe'!G24:H24)</f>
        <v/>
      </c>
      <c r="C35" t="str">
        <v/>
      </c>
    </row>
    <row r="36" spans="2:3" x14ac:dyDescent="0.2">
      <c r="B36" t="str" cm="1">
        <f t="array" ref="B36:C36">IF(ISBLANK('fiche groupe'!G25:H25),"",'fiche groupe'!G25:H25)</f>
        <v/>
      </c>
      <c r="C36" t="str">
        <v/>
      </c>
    </row>
    <row r="37" spans="2:3" x14ac:dyDescent="0.2">
      <c r="B37" t="str" cm="1">
        <f t="array" ref="B37:C37">IF(ISBLANK('fiche groupe'!G26:H26),"",'fiche groupe'!G26:H26)</f>
        <v/>
      </c>
      <c r="C37" t="str">
        <v/>
      </c>
    </row>
    <row r="38" spans="2:3" x14ac:dyDescent="0.2">
      <c r="B38" t="str" cm="1">
        <f t="array" ref="B38:C38">IF(ISBLANK('fiche groupe'!G27:H27),"",'fiche groupe'!G27:H27)</f>
        <v/>
      </c>
      <c r="C38" t="str">
        <v/>
      </c>
    </row>
  </sheetData>
  <mergeCells count="12">
    <mergeCell ref="Y2:AH2"/>
    <mergeCell ref="Y3:AH3"/>
    <mergeCell ref="B22:I22"/>
    <mergeCell ref="B21:I21"/>
    <mergeCell ref="B20:I20"/>
    <mergeCell ref="K22:U22"/>
    <mergeCell ref="V2:V3"/>
    <mergeCell ref="B2:E2"/>
    <mergeCell ref="F2:I2"/>
    <mergeCell ref="J2:M2"/>
    <mergeCell ref="N2:Q2"/>
    <mergeCell ref="R2:T2"/>
  </mergeCells>
  <pageMargins left="0.7" right="0.7" top="0.75" bottom="0.75" header="0.3" footer="0.3"/>
  <pageSetup paperSize="9" scale="48" orientation="landscape" horizontalDpi="0" verticalDpi="0"/>
  <headerFooter scaleWithDoc="0">
    <oddHeader>&amp;L&amp;"Calibri,Normal"&amp;K000000&amp;F&amp;C&amp;"Calibri,Normal"&amp;K000000                                                   &amp;A&amp;R&amp;"Calibri,Normal"&amp;K000000&amp;P sur &amp;N</oddHeader>
  </headerFooter>
  <colBreaks count="2" manualBreakCount="2">
    <brk id="9" max="22" man="1"/>
    <brk id="23" max="22" man="1"/>
  </colBreaks>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2DC3E690-3366-AD4D-BFEA-6A2CEE9B0C68}">
          <x14:formula1>
            <xm:f>Base!$A$1:$A$2</xm:f>
          </x14:formula1>
          <xm:sqref>L4:L18 R4:S18</xm:sqref>
        </x14:dataValidation>
        <x14:dataValidation type="list" showInputMessage="1" showErrorMessage="1" xr:uid="{9676677D-291B-E743-B9DA-78829647753A}">
          <x14:formula1>
            <xm:f>Base!$A$1:$A$2</xm:f>
          </x14:formula1>
          <xm:sqref>N4:P18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BA1EE-3DE7-474C-98FA-9E3B3C3C5F41}">
  <dimension ref="A1:V142"/>
  <sheetViews>
    <sheetView view="pageBreakPreview" zoomScale="83" zoomScaleNormal="64" workbookViewId="0">
      <selection activeCell="G130" sqref="G130"/>
    </sheetView>
  </sheetViews>
  <sheetFormatPr baseColWidth="10" defaultRowHeight="16" x14ac:dyDescent="0.2"/>
  <cols>
    <col min="3" max="3" width="11.83203125" customWidth="1"/>
    <col min="4" max="4" width="47" customWidth="1"/>
    <col min="5" max="9" width="21" style="2" customWidth="1"/>
    <col min="10" max="10" width="20.83203125" customWidth="1"/>
    <col min="11" max="11" width="13" bestFit="1" customWidth="1"/>
    <col min="12" max="13" width="12.83203125" bestFit="1" customWidth="1"/>
    <col min="14" max="14" width="13.5" customWidth="1"/>
    <col min="15" max="15" width="14.33203125" customWidth="1"/>
    <col min="16" max="16" width="14.1640625" customWidth="1"/>
    <col min="17" max="19" width="14.6640625" customWidth="1"/>
    <col min="20" max="20" width="15.33203125" customWidth="1"/>
    <col min="21" max="21" width="14.5" customWidth="1"/>
    <col min="22" max="22" width="13.5" customWidth="1"/>
    <col min="24" max="26" width="10.83203125" customWidth="1"/>
  </cols>
  <sheetData>
    <row r="1" spans="1:22" ht="17" thickBot="1" x14ac:dyDescent="0.25">
      <c r="A1" s="64"/>
      <c r="B1" s="65"/>
      <c r="C1" s="65"/>
      <c r="D1" s="65"/>
      <c r="E1" s="233"/>
      <c r="F1" s="233"/>
      <c r="G1" s="233"/>
      <c r="H1" s="233"/>
      <c r="I1" s="233"/>
      <c r="J1" s="65"/>
      <c r="K1" s="65"/>
      <c r="L1" s="66"/>
    </row>
    <row r="2" spans="1:22" ht="16" customHeight="1" x14ac:dyDescent="0.2">
      <c r="A2" s="71"/>
      <c r="B2" s="322" t="s">
        <v>389</v>
      </c>
      <c r="C2" s="323"/>
      <c r="D2" s="323"/>
      <c r="E2" s="323"/>
      <c r="F2" s="323"/>
      <c r="G2" s="323"/>
      <c r="H2" s="323"/>
      <c r="I2" s="323"/>
      <c r="J2" s="323"/>
      <c r="K2" s="324"/>
      <c r="L2" s="72"/>
    </row>
    <row r="3" spans="1:22" ht="17" customHeight="1" thickBot="1" x14ac:dyDescent="0.25">
      <c r="A3" s="71"/>
      <c r="B3" s="325"/>
      <c r="C3" s="326"/>
      <c r="D3" s="326"/>
      <c r="E3" s="326"/>
      <c r="F3" s="326"/>
      <c r="G3" s="326"/>
      <c r="H3" s="326"/>
      <c r="I3" s="326"/>
      <c r="J3" s="326"/>
      <c r="K3" s="327"/>
      <c r="L3" s="72"/>
    </row>
    <row r="4" spans="1:22" ht="17" thickBot="1" x14ac:dyDescent="0.25">
      <c r="A4" s="71"/>
      <c r="L4" s="72"/>
    </row>
    <row r="5" spans="1:22" ht="17" thickBot="1" x14ac:dyDescent="0.25">
      <c r="A5" s="71"/>
      <c r="E5" s="355" t="s">
        <v>0</v>
      </c>
      <c r="F5" s="356"/>
      <c r="G5" s="357"/>
      <c r="H5" s="311" t="s">
        <v>1</v>
      </c>
      <c r="I5" s="312"/>
      <c r="J5" s="313"/>
      <c r="L5" s="72"/>
    </row>
    <row r="6" spans="1:22" ht="18" thickBot="1" x14ac:dyDescent="0.25">
      <c r="A6" s="71"/>
      <c r="E6" s="92" t="s">
        <v>11</v>
      </c>
      <c r="F6" s="97" t="s">
        <v>12</v>
      </c>
      <c r="G6" s="127" t="s">
        <v>5</v>
      </c>
      <c r="H6" s="92" t="s">
        <v>11</v>
      </c>
      <c r="I6" s="97" t="s">
        <v>12</v>
      </c>
      <c r="J6" s="56" t="s">
        <v>5</v>
      </c>
      <c r="L6" s="72"/>
    </row>
    <row r="7" spans="1:22" x14ac:dyDescent="0.2">
      <c r="A7" s="71"/>
      <c r="C7" s="352" t="s">
        <v>40</v>
      </c>
      <c r="D7" s="7" t="s">
        <v>13</v>
      </c>
      <c r="E7" s="93">
        <v>2000000</v>
      </c>
      <c r="F7" s="121">
        <v>0</v>
      </c>
      <c r="G7" s="128">
        <f>E7+F7</f>
        <v>2000000</v>
      </c>
      <c r="H7" s="93">
        <v>6000000</v>
      </c>
      <c r="I7" s="121">
        <v>0</v>
      </c>
      <c r="J7" s="124">
        <f>H7+I7</f>
        <v>6000000</v>
      </c>
      <c r="L7" s="72"/>
    </row>
    <row r="8" spans="1:22" x14ac:dyDescent="0.2">
      <c r="A8" s="71"/>
      <c r="C8" s="353"/>
      <c r="D8" s="8" t="s">
        <v>14</v>
      </c>
      <c r="E8" s="94">
        <v>1000000</v>
      </c>
      <c r="F8" s="122">
        <v>0</v>
      </c>
      <c r="G8" s="129">
        <f>E8+F8</f>
        <v>1000000</v>
      </c>
      <c r="H8" s="94">
        <v>0</v>
      </c>
      <c r="I8" s="122">
        <v>0</v>
      </c>
      <c r="J8" s="125">
        <f t="shared" ref="J8" si="0">H8+I8</f>
        <v>0</v>
      </c>
      <c r="L8" s="72"/>
    </row>
    <row r="9" spans="1:22" ht="17" thickBot="1" x14ac:dyDescent="0.25">
      <c r="A9" s="71"/>
      <c r="C9" s="353"/>
      <c r="D9" s="9" t="s">
        <v>6</v>
      </c>
      <c r="E9" s="95">
        <v>50000000</v>
      </c>
      <c r="F9" s="123">
        <v>0</v>
      </c>
      <c r="G9" s="130">
        <f>E9+F9</f>
        <v>50000000</v>
      </c>
      <c r="H9" s="95">
        <v>0</v>
      </c>
      <c r="I9" s="123">
        <v>0</v>
      </c>
      <c r="J9" s="126">
        <f>H9+I9</f>
        <v>0</v>
      </c>
      <c r="L9" s="72"/>
    </row>
    <row r="10" spans="1:22" ht="17" thickBot="1" x14ac:dyDescent="0.25">
      <c r="A10" s="71"/>
      <c r="C10" s="354"/>
      <c r="D10" s="55" t="s">
        <v>15</v>
      </c>
      <c r="E10" s="96">
        <f t="shared" ref="E10:J10" si="1">+SUM(E7:E9)</f>
        <v>53000000</v>
      </c>
      <c r="F10" s="120">
        <f t="shared" si="1"/>
        <v>0</v>
      </c>
      <c r="G10" s="131">
        <f t="shared" si="1"/>
        <v>53000000</v>
      </c>
      <c r="H10" s="96">
        <f t="shared" si="1"/>
        <v>6000000</v>
      </c>
      <c r="I10" s="120">
        <f t="shared" si="1"/>
        <v>0</v>
      </c>
      <c r="J10" s="62">
        <f t="shared" si="1"/>
        <v>6000000</v>
      </c>
      <c r="L10" s="72"/>
    </row>
    <row r="11" spans="1:22" x14ac:dyDescent="0.2">
      <c r="A11" s="71"/>
      <c r="C11" s="352" t="s">
        <v>359</v>
      </c>
      <c r="D11" s="7" t="s">
        <v>16</v>
      </c>
      <c r="E11" s="93">
        <v>0</v>
      </c>
      <c r="F11" s="121">
        <v>4000000</v>
      </c>
      <c r="G11" s="128">
        <f>E11+F11</f>
        <v>4000000</v>
      </c>
      <c r="H11" s="93">
        <v>500000</v>
      </c>
      <c r="I11" s="121">
        <v>5000000</v>
      </c>
      <c r="J11" s="124">
        <f>H11+I11</f>
        <v>5500000</v>
      </c>
      <c r="L11" s="72"/>
    </row>
    <row r="12" spans="1:22" x14ac:dyDescent="0.2">
      <c r="A12" s="71"/>
      <c r="C12" s="353"/>
      <c r="D12" s="8" t="s">
        <v>7</v>
      </c>
      <c r="E12" s="94">
        <v>0</v>
      </c>
      <c r="F12" s="122">
        <v>100000</v>
      </c>
      <c r="G12" s="129">
        <f>E12+F12</f>
        <v>100000</v>
      </c>
      <c r="H12" s="94">
        <v>0</v>
      </c>
      <c r="I12" s="122">
        <v>0</v>
      </c>
      <c r="J12" s="125">
        <f t="shared" ref="J12:J13" si="2">H12+I12</f>
        <v>0</v>
      </c>
      <c r="L12" s="72"/>
    </row>
    <row r="13" spans="1:22" x14ac:dyDescent="0.2">
      <c r="A13" s="71"/>
      <c r="C13" s="353"/>
      <c r="D13" s="9" t="s">
        <v>362</v>
      </c>
      <c r="E13" s="95">
        <v>0</v>
      </c>
      <c r="F13" s="123">
        <v>2000000</v>
      </c>
      <c r="G13" s="129">
        <f>E13+F13</f>
        <v>2000000</v>
      </c>
      <c r="H13" s="95">
        <v>0</v>
      </c>
      <c r="I13" s="123">
        <v>0</v>
      </c>
      <c r="J13" s="125">
        <f t="shared" si="2"/>
        <v>0</v>
      </c>
      <c r="L13" s="72"/>
    </row>
    <row r="14" spans="1:22" ht="17" thickBot="1" x14ac:dyDescent="0.25">
      <c r="A14" s="71"/>
      <c r="C14" s="353"/>
      <c r="D14" s="9" t="s">
        <v>363</v>
      </c>
      <c r="E14" s="95">
        <v>0</v>
      </c>
      <c r="F14" s="123">
        <v>750000</v>
      </c>
      <c r="G14" s="130">
        <f>E14+F14</f>
        <v>750000</v>
      </c>
      <c r="H14" s="95">
        <v>250000</v>
      </c>
      <c r="I14" s="123">
        <v>0</v>
      </c>
      <c r="J14" s="126">
        <f>H14+I14</f>
        <v>250000</v>
      </c>
      <c r="L14" s="72"/>
    </row>
    <row r="15" spans="1:22" ht="17" thickBot="1" x14ac:dyDescent="0.25">
      <c r="A15" s="71"/>
      <c r="C15" s="354"/>
      <c r="D15" s="55" t="s">
        <v>520</v>
      </c>
      <c r="E15" s="96">
        <f t="shared" ref="E15:J15" si="3">+SUM(E11:E14)</f>
        <v>0</v>
      </c>
      <c r="F15" s="120">
        <f t="shared" si="3"/>
        <v>6850000</v>
      </c>
      <c r="G15" s="131">
        <f t="shared" si="3"/>
        <v>6850000</v>
      </c>
      <c r="H15" s="96">
        <f t="shared" si="3"/>
        <v>750000</v>
      </c>
      <c r="I15" s="120">
        <f t="shared" si="3"/>
        <v>5000000</v>
      </c>
      <c r="J15" s="62">
        <f t="shared" si="3"/>
        <v>5750000</v>
      </c>
      <c r="L15" s="72"/>
    </row>
    <row r="16" spans="1:22" ht="17" thickBot="1" x14ac:dyDescent="0.25">
      <c r="A16" s="71"/>
      <c r="C16" s="227"/>
      <c r="D16" s="234"/>
      <c r="E16" s="235"/>
      <c r="F16" s="235"/>
      <c r="G16" s="235"/>
      <c r="H16" s="235"/>
      <c r="I16" s="235"/>
      <c r="J16" s="59"/>
      <c r="K16" s="59"/>
      <c r="L16" s="236"/>
      <c r="M16" s="59"/>
      <c r="N16" s="59"/>
      <c r="O16" s="59"/>
      <c r="P16" s="59"/>
      <c r="Q16" s="59"/>
      <c r="R16" s="59"/>
      <c r="S16" s="59"/>
      <c r="T16" s="59"/>
      <c r="U16" s="59"/>
      <c r="V16" s="59"/>
    </row>
    <row r="17" spans="1:22" ht="17" thickBot="1" x14ac:dyDescent="0.25">
      <c r="A17" s="71"/>
      <c r="C17" s="227"/>
      <c r="D17" s="234"/>
      <c r="E17" s="340" t="s">
        <v>2</v>
      </c>
      <c r="F17" s="341"/>
      <c r="G17" s="342"/>
      <c r="H17" s="343" t="s">
        <v>3</v>
      </c>
      <c r="I17" s="344"/>
      <c r="J17" s="345"/>
      <c r="L17" s="72"/>
      <c r="N17" s="59"/>
      <c r="O17" s="59"/>
      <c r="P17" s="59"/>
      <c r="Q17" s="59"/>
      <c r="R17" s="59"/>
      <c r="S17" s="59"/>
      <c r="T17" s="59"/>
      <c r="U17" s="59"/>
      <c r="V17" s="59"/>
    </row>
    <row r="18" spans="1:22" ht="18" thickBot="1" x14ac:dyDescent="0.25">
      <c r="A18" s="71"/>
      <c r="C18" s="227"/>
      <c r="D18" s="234"/>
      <c r="E18" s="136" t="s">
        <v>11</v>
      </c>
      <c r="F18" s="137" t="s">
        <v>12</v>
      </c>
      <c r="G18" s="138" t="s">
        <v>5</v>
      </c>
      <c r="H18" s="136" t="s">
        <v>11</v>
      </c>
      <c r="I18" s="137" t="s">
        <v>12</v>
      </c>
      <c r="J18" s="139" t="s">
        <v>5</v>
      </c>
      <c r="L18" s="72"/>
      <c r="N18" s="59"/>
      <c r="O18" s="59"/>
      <c r="P18" s="59"/>
      <c r="Q18" s="59"/>
      <c r="R18" s="59"/>
      <c r="S18" s="59"/>
      <c r="T18" s="59"/>
      <c r="U18" s="59"/>
      <c r="V18" s="59"/>
    </row>
    <row r="19" spans="1:22" x14ac:dyDescent="0.2">
      <c r="A19" s="71"/>
      <c r="C19" s="352" t="s">
        <v>40</v>
      </c>
      <c r="D19" s="7" t="s">
        <v>13</v>
      </c>
      <c r="E19" s="93">
        <v>0</v>
      </c>
      <c r="F19" s="121">
        <v>6000000</v>
      </c>
      <c r="G19" s="128">
        <f>E19+F19</f>
        <v>6000000</v>
      </c>
      <c r="H19" s="93">
        <v>0</v>
      </c>
      <c r="I19" s="121">
        <v>0</v>
      </c>
      <c r="J19" s="124">
        <f>H19+I19</f>
        <v>0</v>
      </c>
      <c r="L19" s="72"/>
      <c r="N19" s="59"/>
      <c r="O19" s="59"/>
      <c r="P19" s="59"/>
      <c r="Q19" s="59"/>
      <c r="R19" s="59"/>
      <c r="S19" s="59"/>
      <c r="T19" s="59"/>
      <c r="U19" s="59"/>
      <c r="V19" s="59"/>
    </row>
    <row r="20" spans="1:22" x14ac:dyDescent="0.2">
      <c r="A20" s="71"/>
      <c r="C20" s="353"/>
      <c r="D20" s="8" t="s">
        <v>14</v>
      </c>
      <c r="E20" s="94">
        <v>0</v>
      </c>
      <c r="F20" s="122">
        <v>70000000</v>
      </c>
      <c r="G20" s="129">
        <f t="shared" ref="G20:G21" si="4">E20+F20</f>
        <v>70000000</v>
      </c>
      <c r="H20" s="94">
        <v>0</v>
      </c>
      <c r="I20" s="122">
        <v>95000000</v>
      </c>
      <c r="J20" s="125">
        <f t="shared" ref="J20:J21" si="5">H20+I20</f>
        <v>95000000</v>
      </c>
      <c r="L20" s="72"/>
      <c r="N20" s="59"/>
      <c r="O20" s="59"/>
      <c r="P20" s="59"/>
      <c r="Q20" s="59"/>
      <c r="R20" s="59"/>
      <c r="S20" s="59"/>
      <c r="T20" s="59"/>
      <c r="U20" s="59"/>
      <c r="V20" s="59"/>
    </row>
    <row r="21" spans="1:22" ht="17" thickBot="1" x14ac:dyDescent="0.25">
      <c r="A21" s="71"/>
      <c r="C21" s="353"/>
      <c r="D21" s="9" t="s">
        <v>6</v>
      </c>
      <c r="E21" s="95">
        <v>0</v>
      </c>
      <c r="F21" s="123">
        <v>0</v>
      </c>
      <c r="G21" s="130">
        <f t="shared" si="4"/>
        <v>0</v>
      </c>
      <c r="H21" s="95">
        <v>0</v>
      </c>
      <c r="I21" s="123">
        <v>0</v>
      </c>
      <c r="J21" s="126">
        <f t="shared" si="5"/>
        <v>0</v>
      </c>
      <c r="L21" s="72"/>
      <c r="N21" s="59"/>
      <c r="O21" s="59"/>
      <c r="P21" s="59"/>
      <c r="Q21" s="59"/>
      <c r="R21" s="59"/>
      <c r="S21" s="59"/>
      <c r="T21" s="59"/>
      <c r="U21" s="59"/>
      <c r="V21" s="59"/>
    </row>
    <row r="22" spans="1:22" ht="17" thickBot="1" x14ac:dyDescent="0.25">
      <c r="A22" s="71"/>
      <c r="C22" s="354"/>
      <c r="D22" s="55" t="s">
        <v>15</v>
      </c>
      <c r="E22" s="96">
        <f t="shared" ref="E22:J22" si="6">+SUM(E19:E21)</f>
        <v>0</v>
      </c>
      <c r="F22" s="120">
        <f t="shared" si="6"/>
        <v>76000000</v>
      </c>
      <c r="G22" s="131">
        <f t="shared" si="6"/>
        <v>76000000</v>
      </c>
      <c r="H22" s="96">
        <f t="shared" si="6"/>
        <v>0</v>
      </c>
      <c r="I22" s="120">
        <f t="shared" si="6"/>
        <v>95000000</v>
      </c>
      <c r="J22" s="62">
        <f t="shared" si="6"/>
        <v>95000000</v>
      </c>
      <c r="L22" s="72"/>
      <c r="N22" s="59"/>
      <c r="O22" s="59"/>
      <c r="P22" s="59"/>
      <c r="Q22" s="59"/>
      <c r="R22" s="59"/>
      <c r="S22" s="59"/>
      <c r="T22" s="59"/>
      <c r="U22" s="59"/>
      <c r="V22" s="59"/>
    </row>
    <row r="23" spans="1:22" x14ac:dyDescent="0.2">
      <c r="A23" s="71"/>
      <c r="C23" s="352" t="s">
        <v>359</v>
      </c>
      <c r="D23" s="7" t="s">
        <v>16</v>
      </c>
      <c r="E23" s="93"/>
      <c r="F23" s="121">
        <v>3000000</v>
      </c>
      <c r="G23" s="128">
        <f>E23+F23</f>
        <v>3000000</v>
      </c>
      <c r="H23" s="93">
        <v>0</v>
      </c>
      <c r="I23" s="121">
        <v>0</v>
      </c>
      <c r="J23" s="124">
        <f>H23+I23</f>
        <v>0</v>
      </c>
      <c r="L23" s="72"/>
      <c r="N23" s="59"/>
      <c r="O23" s="59"/>
      <c r="P23" s="59"/>
      <c r="Q23" s="59"/>
      <c r="R23" s="59"/>
      <c r="S23" s="59"/>
      <c r="T23" s="59"/>
      <c r="U23" s="59"/>
      <c r="V23" s="59"/>
    </row>
    <row r="24" spans="1:22" x14ac:dyDescent="0.2">
      <c r="A24" s="71"/>
      <c r="C24" s="353"/>
      <c r="D24" s="8" t="s">
        <v>7</v>
      </c>
      <c r="E24" s="94"/>
      <c r="F24" s="122">
        <v>50000000</v>
      </c>
      <c r="G24" s="129">
        <f t="shared" ref="G24:G26" si="7">E24+F24</f>
        <v>50000000</v>
      </c>
      <c r="H24" s="94">
        <v>2500000</v>
      </c>
      <c r="I24" s="122">
        <v>50000000</v>
      </c>
      <c r="J24" s="125">
        <f t="shared" ref="J24:J26" si="8">H24+I24</f>
        <v>52500000</v>
      </c>
      <c r="L24" s="72"/>
      <c r="N24" s="59"/>
      <c r="O24" s="59"/>
      <c r="P24" s="59"/>
      <c r="Q24" s="59"/>
      <c r="R24" s="59"/>
      <c r="S24" s="59"/>
      <c r="T24" s="59"/>
      <c r="U24" s="59"/>
      <c r="V24" s="59"/>
    </row>
    <row r="25" spans="1:22" x14ac:dyDescent="0.2">
      <c r="A25" s="71"/>
      <c r="C25" s="353"/>
      <c r="D25" s="9" t="s">
        <v>362</v>
      </c>
      <c r="E25" s="95">
        <v>2500000</v>
      </c>
      <c r="F25" s="123">
        <v>10000000</v>
      </c>
      <c r="G25" s="129">
        <f t="shared" si="7"/>
        <v>12500000</v>
      </c>
      <c r="H25" s="95">
        <v>0</v>
      </c>
      <c r="I25" s="123">
        <v>0</v>
      </c>
      <c r="J25" s="125">
        <f t="shared" si="8"/>
        <v>0</v>
      </c>
      <c r="L25" s="72"/>
      <c r="N25" s="59"/>
      <c r="O25" s="59"/>
      <c r="P25" s="59"/>
      <c r="Q25" s="59"/>
      <c r="R25" s="59"/>
      <c r="S25" s="59"/>
      <c r="T25" s="59"/>
      <c r="U25" s="59"/>
      <c r="V25" s="59"/>
    </row>
    <row r="26" spans="1:22" ht="17" thickBot="1" x14ac:dyDescent="0.25">
      <c r="A26" s="71"/>
      <c r="C26" s="353"/>
      <c r="D26" s="9" t="s">
        <v>363</v>
      </c>
      <c r="E26" s="95">
        <v>250000</v>
      </c>
      <c r="F26" s="123">
        <v>0</v>
      </c>
      <c r="G26" s="130">
        <f t="shared" si="7"/>
        <v>250000</v>
      </c>
      <c r="H26" s="95">
        <v>250000</v>
      </c>
      <c r="I26" s="123">
        <v>0</v>
      </c>
      <c r="J26" s="126">
        <f t="shared" si="8"/>
        <v>250000</v>
      </c>
      <c r="L26" s="72"/>
      <c r="N26" s="59"/>
      <c r="O26" s="59"/>
      <c r="P26" s="59"/>
      <c r="Q26" s="59"/>
      <c r="R26" s="59"/>
      <c r="S26" s="59"/>
      <c r="T26" s="59"/>
      <c r="U26" s="59"/>
      <c r="V26" s="59"/>
    </row>
    <row r="27" spans="1:22" ht="17" thickBot="1" x14ac:dyDescent="0.25">
      <c r="A27" s="71"/>
      <c r="C27" s="354"/>
      <c r="D27" s="55" t="s">
        <v>520</v>
      </c>
      <c r="E27" s="96">
        <f t="shared" ref="E27:J27" si="9">+SUM(E23:E26)</f>
        <v>2750000</v>
      </c>
      <c r="F27" s="120">
        <f t="shared" si="9"/>
        <v>63000000</v>
      </c>
      <c r="G27" s="131">
        <f t="shared" si="9"/>
        <v>65750000</v>
      </c>
      <c r="H27" s="96">
        <f t="shared" si="9"/>
        <v>2750000</v>
      </c>
      <c r="I27" s="120">
        <f t="shared" si="9"/>
        <v>50000000</v>
      </c>
      <c r="J27" s="62">
        <f t="shared" si="9"/>
        <v>52750000</v>
      </c>
      <c r="L27" s="72"/>
      <c r="N27" s="59"/>
      <c r="O27" s="59"/>
      <c r="P27" s="59"/>
      <c r="Q27" s="59"/>
      <c r="R27" s="59"/>
      <c r="S27" s="59"/>
      <c r="T27" s="59"/>
      <c r="U27" s="59"/>
      <c r="V27" s="59"/>
    </row>
    <row r="28" spans="1:22" ht="17" thickBot="1" x14ac:dyDescent="0.25">
      <c r="A28" s="71"/>
      <c r="C28" s="227"/>
      <c r="D28" s="234"/>
      <c r="E28" s="235"/>
      <c r="F28" s="235"/>
      <c r="G28" s="235"/>
      <c r="H28" s="235"/>
      <c r="I28" s="235"/>
      <c r="J28" s="59"/>
      <c r="K28" s="59"/>
      <c r="L28" s="236"/>
      <c r="M28" s="59"/>
      <c r="N28" s="59"/>
      <c r="O28" s="59"/>
      <c r="P28" s="59"/>
      <c r="Q28" s="59"/>
      <c r="R28" s="59"/>
      <c r="S28" s="59"/>
      <c r="T28" s="59"/>
      <c r="U28" s="59"/>
      <c r="V28" s="59"/>
    </row>
    <row r="29" spans="1:22" ht="17" thickBot="1" x14ac:dyDescent="0.25">
      <c r="A29" s="71"/>
      <c r="C29" s="227"/>
      <c r="D29" s="234"/>
      <c r="E29" s="340" t="s">
        <v>4</v>
      </c>
      <c r="F29" s="341"/>
      <c r="G29" s="342"/>
      <c r="H29" s="343" t="s">
        <v>18</v>
      </c>
      <c r="I29" s="344"/>
      <c r="J29" s="345"/>
      <c r="K29" s="59"/>
      <c r="L29" s="236"/>
      <c r="M29" s="59"/>
      <c r="N29" s="59"/>
      <c r="O29" s="59"/>
      <c r="P29" s="59"/>
      <c r="Q29" s="59"/>
      <c r="R29" s="59"/>
      <c r="S29" s="59"/>
      <c r="T29" s="59"/>
      <c r="U29" s="59"/>
      <c r="V29" s="59"/>
    </row>
    <row r="30" spans="1:22" ht="18" thickBot="1" x14ac:dyDescent="0.25">
      <c r="A30" s="71"/>
      <c r="C30" s="227"/>
      <c r="D30" s="234"/>
      <c r="E30" s="136" t="s">
        <v>11</v>
      </c>
      <c r="F30" s="137" t="s">
        <v>12</v>
      </c>
      <c r="G30" s="138" t="s">
        <v>5</v>
      </c>
      <c r="H30" s="136" t="s">
        <v>11</v>
      </c>
      <c r="I30" s="137" t="s">
        <v>12</v>
      </c>
      <c r="J30" s="139" t="s">
        <v>5</v>
      </c>
      <c r="K30" s="59"/>
      <c r="L30" s="236"/>
      <c r="M30" s="59"/>
      <c r="N30" s="59"/>
      <c r="O30" s="59"/>
      <c r="P30" s="59"/>
      <c r="Q30" s="59"/>
      <c r="R30" s="59"/>
      <c r="S30" s="59"/>
      <c r="T30" s="59"/>
      <c r="U30" s="59"/>
      <c r="V30" s="59"/>
    </row>
    <row r="31" spans="1:22" x14ac:dyDescent="0.2">
      <c r="A31" s="71"/>
      <c r="C31" s="352" t="s">
        <v>40</v>
      </c>
      <c r="D31" s="7" t="s">
        <v>13</v>
      </c>
      <c r="E31" s="93">
        <v>0</v>
      </c>
      <c r="F31" s="121">
        <v>2500000000</v>
      </c>
      <c r="G31" s="128">
        <f>E31+F31</f>
        <v>2500000000</v>
      </c>
      <c r="H31" s="98">
        <f t="shared" ref="H31:I33" si="10">E7+H7+E19+H19+E31</f>
        <v>8000000</v>
      </c>
      <c r="I31" s="132">
        <f t="shared" si="10"/>
        <v>2506000000</v>
      </c>
      <c r="J31" s="124">
        <f>H31+I31</f>
        <v>2514000000</v>
      </c>
      <c r="K31" s="59"/>
      <c r="L31" s="237"/>
      <c r="M31" s="59"/>
      <c r="N31" s="59"/>
      <c r="O31" s="59"/>
      <c r="P31" s="59"/>
      <c r="Q31" s="59"/>
      <c r="R31" s="59"/>
      <c r="S31" s="59"/>
      <c r="T31" s="59"/>
      <c r="U31" s="59"/>
      <c r="V31" s="59"/>
    </row>
    <row r="32" spans="1:22" x14ac:dyDescent="0.2">
      <c r="A32" s="71"/>
      <c r="C32" s="353"/>
      <c r="D32" s="8" t="s">
        <v>14</v>
      </c>
      <c r="E32" s="94">
        <v>0</v>
      </c>
      <c r="F32" s="122">
        <v>0</v>
      </c>
      <c r="G32" s="129">
        <f t="shared" ref="G32:G33" si="11">E32+F32</f>
        <v>0</v>
      </c>
      <c r="H32" s="99">
        <f t="shared" si="10"/>
        <v>1000000</v>
      </c>
      <c r="I32" s="133">
        <f t="shared" si="10"/>
        <v>165000000</v>
      </c>
      <c r="J32" s="125">
        <f t="shared" ref="J32:J33" si="12">H32+I32</f>
        <v>166000000</v>
      </c>
      <c r="K32" s="59"/>
      <c r="L32" s="236"/>
      <c r="M32" s="59"/>
      <c r="N32" s="59"/>
      <c r="O32" s="59"/>
      <c r="P32" s="59"/>
      <c r="Q32" s="59"/>
      <c r="R32" s="59"/>
      <c r="S32" s="59"/>
      <c r="T32" s="59"/>
      <c r="U32" s="59"/>
      <c r="V32" s="59"/>
    </row>
    <row r="33" spans="1:22" ht="17" thickBot="1" x14ac:dyDescent="0.25">
      <c r="A33" s="71"/>
      <c r="C33" s="353"/>
      <c r="D33" s="9" t="s">
        <v>6</v>
      </c>
      <c r="E33" s="95">
        <v>0</v>
      </c>
      <c r="F33" s="123">
        <v>0</v>
      </c>
      <c r="G33" s="130">
        <f t="shared" si="11"/>
        <v>0</v>
      </c>
      <c r="H33" s="99">
        <f t="shared" si="10"/>
        <v>50000000</v>
      </c>
      <c r="I33" s="133">
        <f t="shared" si="10"/>
        <v>0</v>
      </c>
      <c r="J33" s="126">
        <f t="shared" si="12"/>
        <v>50000000</v>
      </c>
      <c r="K33" s="59"/>
      <c r="L33" s="230"/>
      <c r="M33" s="59"/>
      <c r="N33" s="59"/>
      <c r="O33" s="59"/>
      <c r="P33" s="59"/>
      <c r="Q33" s="59"/>
      <c r="R33" s="59"/>
      <c r="S33" s="59"/>
      <c r="T33" s="59"/>
      <c r="U33" s="59"/>
      <c r="V33" s="59"/>
    </row>
    <row r="34" spans="1:22" ht="17" thickBot="1" x14ac:dyDescent="0.25">
      <c r="A34" s="71"/>
      <c r="C34" s="354"/>
      <c r="D34" s="55" t="s">
        <v>15</v>
      </c>
      <c r="E34" s="96">
        <f t="shared" ref="E34:J34" si="13">+SUM(E31:E33)</f>
        <v>0</v>
      </c>
      <c r="F34" s="120">
        <f t="shared" si="13"/>
        <v>2500000000</v>
      </c>
      <c r="G34" s="131">
        <f t="shared" si="13"/>
        <v>2500000000</v>
      </c>
      <c r="H34" s="96">
        <f t="shared" si="13"/>
        <v>59000000</v>
      </c>
      <c r="I34" s="120">
        <f t="shared" si="13"/>
        <v>2671000000</v>
      </c>
      <c r="J34" s="62">
        <f t="shared" si="13"/>
        <v>2730000000</v>
      </c>
      <c r="K34" s="59"/>
      <c r="L34" s="236"/>
      <c r="M34" s="59"/>
      <c r="N34" s="59"/>
      <c r="O34" s="59"/>
      <c r="P34" s="59"/>
      <c r="Q34" s="59"/>
      <c r="R34" s="59"/>
      <c r="S34" s="59"/>
      <c r="T34" s="59"/>
      <c r="U34" s="59"/>
      <c r="V34" s="59"/>
    </row>
    <row r="35" spans="1:22" x14ac:dyDescent="0.2">
      <c r="A35" s="71"/>
      <c r="C35" s="352" t="s">
        <v>359</v>
      </c>
      <c r="D35" s="7" t="s">
        <v>16</v>
      </c>
      <c r="E35" s="93">
        <v>2500000</v>
      </c>
      <c r="F35" s="121">
        <v>190000000</v>
      </c>
      <c r="G35" s="128">
        <f>E35+F35</f>
        <v>192500000</v>
      </c>
      <c r="H35" s="98">
        <f t="shared" ref="H35:I38" si="14">E11+H11+E23+H23+E35</f>
        <v>3000000</v>
      </c>
      <c r="I35" s="132">
        <f t="shared" si="14"/>
        <v>202000000</v>
      </c>
      <c r="J35" s="124">
        <f>H35+I35</f>
        <v>205000000</v>
      </c>
      <c r="K35" s="59"/>
      <c r="L35" s="236"/>
      <c r="M35" s="59"/>
      <c r="N35" s="59"/>
      <c r="O35" s="59"/>
      <c r="P35" s="59"/>
      <c r="Q35" s="59"/>
      <c r="R35" s="59"/>
      <c r="S35" s="59"/>
      <c r="T35" s="59"/>
      <c r="U35" s="59"/>
      <c r="V35" s="59"/>
    </row>
    <row r="36" spans="1:22" x14ac:dyDescent="0.2">
      <c r="A36" s="71"/>
      <c r="C36" s="353"/>
      <c r="D36" s="8" t="s">
        <v>7</v>
      </c>
      <c r="E36" s="94">
        <v>0</v>
      </c>
      <c r="F36" s="122">
        <v>0</v>
      </c>
      <c r="G36" s="129">
        <f t="shared" ref="G36:G38" si="15">E36+F36</f>
        <v>0</v>
      </c>
      <c r="H36" s="99">
        <f t="shared" si="14"/>
        <v>2500000</v>
      </c>
      <c r="I36" s="133">
        <f t="shared" si="14"/>
        <v>100100000</v>
      </c>
      <c r="J36" s="125">
        <f t="shared" ref="J36:J38" si="16">H36+I36</f>
        <v>102600000</v>
      </c>
      <c r="K36" s="59"/>
      <c r="L36" s="236"/>
      <c r="M36" s="59"/>
      <c r="N36" s="59"/>
      <c r="O36" s="59"/>
      <c r="P36" s="59"/>
      <c r="Q36" s="59"/>
      <c r="R36" s="59"/>
      <c r="S36" s="59"/>
      <c r="T36" s="59"/>
      <c r="U36" s="59"/>
      <c r="V36" s="59"/>
    </row>
    <row r="37" spans="1:22" x14ac:dyDescent="0.2">
      <c r="A37" s="71"/>
      <c r="C37" s="353"/>
      <c r="D37" s="9" t="s">
        <v>362</v>
      </c>
      <c r="E37" s="95">
        <v>0</v>
      </c>
      <c r="F37" s="123">
        <v>0</v>
      </c>
      <c r="G37" s="129">
        <f t="shared" si="15"/>
        <v>0</v>
      </c>
      <c r="H37" s="99">
        <f t="shared" si="14"/>
        <v>2500000</v>
      </c>
      <c r="I37" s="133">
        <f t="shared" si="14"/>
        <v>12000000</v>
      </c>
      <c r="J37" s="125">
        <f t="shared" si="16"/>
        <v>14500000</v>
      </c>
      <c r="K37" s="59"/>
      <c r="L37" s="237"/>
      <c r="M37" s="59"/>
      <c r="N37" s="59"/>
      <c r="O37" s="59"/>
      <c r="P37" s="59"/>
      <c r="Q37" s="59"/>
      <c r="R37" s="59"/>
      <c r="S37" s="59"/>
      <c r="T37" s="59"/>
      <c r="U37" s="59"/>
      <c r="V37" s="59"/>
    </row>
    <row r="38" spans="1:22" ht="17" thickBot="1" x14ac:dyDescent="0.25">
      <c r="A38" s="71"/>
      <c r="C38" s="353"/>
      <c r="D38" s="9" t="s">
        <v>363</v>
      </c>
      <c r="E38" s="95">
        <v>250000</v>
      </c>
      <c r="F38" s="123">
        <v>0</v>
      </c>
      <c r="G38" s="130">
        <f t="shared" si="15"/>
        <v>250000</v>
      </c>
      <c r="H38" s="99">
        <f t="shared" si="14"/>
        <v>1000000</v>
      </c>
      <c r="I38" s="133">
        <f t="shared" si="14"/>
        <v>750000</v>
      </c>
      <c r="J38" s="126">
        <f t="shared" si="16"/>
        <v>1750000</v>
      </c>
      <c r="K38" s="59"/>
      <c r="L38" s="230"/>
      <c r="M38" s="59"/>
      <c r="N38" s="59"/>
      <c r="O38" s="59"/>
      <c r="P38" s="59"/>
      <c r="Q38" s="59"/>
      <c r="R38" s="59"/>
      <c r="S38" s="59"/>
      <c r="T38" s="59"/>
      <c r="U38" s="59"/>
      <c r="V38" s="59"/>
    </row>
    <row r="39" spans="1:22" ht="17" thickBot="1" x14ac:dyDescent="0.25">
      <c r="A39" s="71"/>
      <c r="C39" s="354"/>
      <c r="D39" s="55" t="s">
        <v>520</v>
      </c>
      <c r="E39" s="96">
        <f t="shared" ref="E39:J39" si="17">+SUM(E35:E38)</f>
        <v>2750000</v>
      </c>
      <c r="F39" s="120">
        <f t="shared" si="17"/>
        <v>190000000</v>
      </c>
      <c r="G39" s="131">
        <f t="shared" si="17"/>
        <v>192750000</v>
      </c>
      <c r="H39" s="96">
        <f t="shared" si="17"/>
        <v>9000000</v>
      </c>
      <c r="I39" s="120">
        <f>+SUM(I35:I38)</f>
        <v>314850000</v>
      </c>
      <c r="J39" s="62">
        <f t="shared" si="17"/>
        <v>323850000</v>
      </c>
      <c r="K39" s="59"/>
      <c r="L39" s="230"/>
      <c r="M39" s="59"/>
      <c r="N39" s="59"/>
      <c r="O39" s="59"/>
      <c r="P39" s="59"/>
      <c r="Q39" s="59"/>
      <c r="R39" s="59"/>
      <c r="S39" s="59"/>
      <c r="T39" s="59"/>
      <c r="U39" s="59"/>
      <c r="V39" s="59"/>
    </row>
    <row r="40" spans="1:22" ht="17" thickBot="1" x14ac:dyDescent="0.25">
      <c r="A40" s="71"/>
      <c r="C40" s="227"/>
      <c r="D40" s="234"/>
      <c r="E40" s="235"/>
      <c r="F40" s="235"/>
      <c r="G40" s="235"/>
      <c r="H40" s="235"/>
      <c r="I40" s="235"/>
      <c r="J40" s="59"/>
      <c r="K40" s="59"/>
      <c r="L40" s="237"/>
      <c r="M40" s="59"/>
      <c r="N40" s="59"/>
      <c r="O40" s="59"/>
      <c r="P40" s="59"/>
      <c r="Q40" s="59"/>
      <c r="R40" s="59"/>
      <c r="S40" s="59"/>
      <c r="T40" s="59"/>
      <c r="U40" s="59"/>
      <c r="V40" s="59"/>
    </row>
    <row r="41" spans="1:22" ht="18" thickBot="1" x14ac:dyDescent="0.25">
      <c r="A41" s="71"/>
      <c r="E41" s="108" t="s">
        <v>0</v>
      </c>
      <c r="F41" s="109" t="s">
        <v>1</v>
      </c>
      <c r="G41" s="109" t="s">
        <v>2</v>
      </c>
      <c r="H41" s="109" t="s">
        <v>3</v>
      </c>
      <c r="I41" s="110" t="s">
        <v>4</v>
      </c>
      <c r="K41" s="1"/>
      <c r="L41" s="72"/>
    </row>
    <row r="42" spans="1:22" ht="51" x14ac:dyDescent="0.2">
      <c r="A42" s="71"/>
      <c r="C42" s="334" t="s">
        <v>40</v>
      </c>
      <c r="D42" s="114" t="s">
        <v>13</v>
      </c>
      <c r="E42" s="166" t="s">
        <v>368</v>
      </c>
      <c r="F42" s="166" t="s">
        <v>375</v>
      </c>
      <c r="G42" s="166" t="s">
        <v>379</v>
      </c>
      <c r="H42" s="166" t="s">
        <v>376</v>
      </c>
      <c r="I42" s="167" t="s">
        <v>387</v>
      </c>
      <c r="L42" s="72"/>
    </row>
    <row r="43" spans="1:22" ht="51" x14ac:dyDescent="0.2">
      <c r="A43" s="71"/>
      <c r="C43" s="335"/>
      <c r="D43" s="115" t="s">
        <v>14</v>
      </c>
      <c r="E43" s="168" t="s">
        <v>369</v>
      </c>
      <c r="F43" s="168" t="s">
        <v>376</v>
      </c>
      <c r="G43" s="168" t="s">
        <v>380</v>
      </c>
      <c r="H43" s="168" t="s">
        <v>385</v>
      </c>
      <c r="I43" s="169" t="s">
        <v>376</v>
      </c>
      <c r="L43" s="72"/>
    </row>
    <row r="44" spans="1:22" ht="18" thickBot="1" x14ac:dyDescent="0.25">
      <c r="A44" s="71"/>
      <c r="C44" s="336"/>
      <c r="D44" s="116" t="s">
        <v>6</v>
      </c>
      <c r="E44" s="170" t="s">
        <v>370</v>
      </c>
      <c r="F44" s="170" t="s">
        <v>376</v>
      </c>
      <c r="G44" s="170" t="s">
        <v>376</v>
      </c>
      <c r="H44" s="170" t="s">
        <v>386</v>
      </c>
      <c r="I44" s="171" t="s">
        <v>376</v>
      </c>
      <c r="L44" s="72"/>
    </row>
    <row r="45" spans="1:22" ht="17" thickBot="1" x14ac:dyDescent="0.25">
      <c r="A45" s="71"/>
      <c r="D45" s="238"/>
      <c r="E45" s="223"/>
      <c r="F45" s="223"/>
      <c r="G45" s="223"/>
      <c r="H45" s="223"/>
      <c r="I45" s="223"/>
      <c r="L45" s="72"/>
    </row>
    <row r="46" spans="1:22" ht="68" customHeight="1" x14ac:dyDescent="0.2">
      <c r="A46" s="71"/>
      <c r="C46" s="337" t="s">
        <v>366</v>
      </c>
      <c r="D46" s="111" t="s">
        <v>361</v>
      </c>
      <c r="E46" s="166" t="s">
        <v>371</v>
      </c>
      <c r="F46" s="166" t="s">
        <v>377</v>
      </c>
      <c r="G46" s="166" t="s">
        <v>381</v>
      </c>
      <c r="H46" s="166" t="s">
        <v>376</v>
      </c>
      <c r="I46" s="167" t="s">
        <v>377</v>
      </c>
      <c r="L46" s="72"/>
    </row>
    <row r="47" spans="1:22" ht="85" x14ac:dyDescent="0.2">
      <c r="A47" s="71"/>
      <c r="C47" s="338"/>
      <c r="D47" s="117" t="s">
        <v>7</v>
      </c>
      <c r="E47" s="168" t="s">
        <v>372</v>
      </c>
      <c r="F47" s="168" t="s">
        <v>376</v>
      </c>
      <c r="G47" s="168" t="s">
        <v>382</v>
      </c>
      <c r="H47" s="168" t="s">
        <v>388</v>
      </c>
      <c r="I47" s="169" t="s">
        <v>376</v>
      </c>
      <c r="L47" s="72"/>
    </row>
    <row r="48" spans="1:22" ht="51" x14ac:dyDescent="0.2">
      <c r="A48" s="71"/>
      <c r="C48" s="338"/>
      <c r="D48" s="117" t="s">
        <v>367</v>
      </c>
      <c r="E48" s="168" t="s">
        <v>373</v>
      </c>
      <c r="F48" s="168" t="s">
        <v>376</v>
      </c>
      <c r="G48" s="168" t="s">
        <v>383</v>
      </c>
      <c r="H48" s="168" t="s">
        <v>376</v>
      </c>
      <c r="I48" s="169" t="s">
        <v>376</v>
      </c>
      <c r="L48" s="72"/>
    </row>
    <row r="49" spans="1:12" ht="68" customHeight="1" thickBot="1" x14ac:dyDescent="0.25">
      <c r="A49" s="71"/>
      <c r="C49" s="339"/>
      <c r="D49" s="118" t="s">
        <v>363</v>
      </c>
      <c r="E49" s="170" t="s">
        <v>374</v>
      </c>
      <c r="F49" s="170" t="s">
        <v>378</v>
      </c>
      <c r="G49" s="170" t="s">
        <v>384</v>
      </c>
      <c r="H49" s="170" t="s">
        <v>378</v>
      </c>
      <c r="I49" s="171" t="s">
        <v>378</v>
      </c>
      <c r="L49" s="72"/>
    </row>
    <row r="50" spans="1:12" x14ac:dyDescent="0.2">
      <c r="A50" s="71"/>
      <c r="L50" s="72"/>
    </row>
    <row r="51" spans="1:12" ht="17" thickBot="1" x14ac:dyDescent="0.25">
      <c r="A51" s="78"/>
      <c r="B51" s="79"/>
      <c r="C51" s="79"/>
      <c r="D51" s="79"/>
      <c r="E51" s="250"/>
      <c r="F51" s="250"/>
      <c r="G51" s="250"/>
      <c r="H51" s="250"/>
      <c r="I51" s="250"/>
      <c r="J51" s="79"/>
      <c r="K51" s="79"/>
      <c r="L51" s="80"/>
    </row>
    <row r="52" spans="1:12" ht="17" thickBot="1" x14ac:dyDescent="0.25">
      <c r="A52" s="64"/>
      <c r="B52" s="65"/>
      <c r="C52" s="65"/>
      <c r="D52" s="65"/>
      <c r="E52" s="233"/>
      <c r="F52" s="233"/>
      <c r="G52" s="233"/>
      <c r="H52" s="233"/>
      <c r="I52" s="233"/>
      <c r="J52" s="65"/>
      <c r="K52" s="65"/>
      <c r="L52" s="66"/>
    </row>
    <row r="53" spans="1:12" ht="16" customHeight="1" x14ac:dyDescent="0.2">
      <c r="A53" s="71"/>
      <c r="B53" s="322" t="s">
        <v>68</v>
      </c>
      <c r="C53" s="323"/>
      <c r="D53" s="323"/>
      <c r="E53" s="323"/>
      <c r="F53" s="323"/>
      <c r="G53" s="323"/>
      <c r="H53" s="323"/>
      <c r="I53" s="323"/>
      <c r="J53" s="323"/>
      <c r="K53" s="324"/>
      <c r="L53" s="72"/>
    </row>
    <row r="54" spans="1:12" ht="17" customHeight="1" thickBot="1" x14ac:dyDescent="0.25">
      <c r="A54" s="71"/>
      <c r="B54" s="325"/>
      <c r="C54" s="326"/>
      <c r="D54" s="326"/>
      <c r="E54" s="326"/>
      <c r="F54" s="326"/>
      <c r="G54" s="326"/>
      <c r="H54" s="326"/>
      <c r="I54" s="326"/>
      <c r="J54" s="326"/>
      <c r="K54" s="327"/>
      <c r="L54" s="72"/>
    </row>
    <row r="55" spans="1:12" x14ac:dyDescent="0.2">
      <c r="A55" s="71"/>
      <c r="L55" s="72"/>
    </row>
    <row r="56" spans="1:12" ht="51" customHeight="1" x14ac:dyDescent="0.2">
      <c r="A56" s="71"/>
      <c r="D56" s="239" t="s">
        <v>65</v>
      </c>
      <c r="E56" s="270" t="s">
        <v>67</v>
      </c>
      <c r="F56" s="270"/>
      <c r="G56" s="270"/>
      <c r="H56" s="270"/>
      <c r="I56" s="270"/>
      <c r="L56" s="72"/>
    </row>
    <row r="57" spans="1:12" ht="67" customHeight="1" x14ac:dyDescent="0.2">
      <c r="A57" s="71"/>
      <c r="D57" s="239" t="s">
        <v>64</v>
      </c>
      <c r="E57" s="270" t="s">
        <v>69</v>
      </c>
      <c r="F57" s="270"/>
      <c r="G57" s="270"/>
      <c r="H57" s="270"/>
      <c r="I57" s="270"/>
      <c r="J57" s="4"/>
      <c r="K57" s="4"/>
      <c r="L57" s="241"/>
    </row>
    <row r="58" spans="1:12" ht="46" customHeight="1" x14ac:dyDescent="0.2">
      <c r="A58" s="71"/>
      <c r="D58" s="239" t="s">
        <v>63</v>
      </c>
      <c r="E58" s="270" t="s">
        <v>66</v>
      </c>
      <c r="F58" s="270"/>
      <c r="G58" s="270"/>
      <c r="H58" s="270"/>
      <c r="I58" s="270"/>
      <c r="L58" s="72"/>
    </row>
    <row r="59" spans="1:12" x14ac:dyDescent="0.2">
      <c r="A59" s="71"/>
      <c r="D59" s="242"/>
      <c r="E59" s="262"/>
      <c r="F59" s="263"/>
      <c r="G59" s="263"/>
      <c r="H59" s="263"/>
      <c r="I59" s="263"/>
      <c r="L59" s="72"/>
    </row>
    <row r="60" spans="1:12" ht="65" customHeight="1" x14ac:dyDescent="0.2">
      <c r="A60" s="71"/>
      <c r="D60" s="243" t="s">
        <v>71</v>
      </c>
      <c r="E60" s="270" t="s">
        <v>70</v>
      </c>
      <c r="F60" s="270"/>
      <c r="G60" s="270"/>
      <c r="H60" s="270"/>
      <c r="I60" s="270"/>
      <c r="L60" s="72"/>
    </row>
    <row r="61" spans="1:12" ht="17" thickBot="1" x14ac:dyDescent="0.25">
      <c r="A61" s="71"/>
      <c r="D61" s="243"/>
      <c r="E61" s="240"/>
      <c r="F61" s="240"/>
      <c r="G61" s="240"/>
      <c r="H61" s="240"/>
      <c r="I61" s="240"/>
      <c r="L61" s="72"/>
    </row>
    <row r="62" spans="1:12" ht="16" customHeight="1" thickBot="1" x14ac:dyDescent="0.25">
      <c r="A62" s="71"/>
      <c r="D62" s="244" t="s">
        <v>62</v>
      </c>
      <c r="E62" s="119">
        <f>IFERROR(ROUNDUP(I31/(I31+I32),2),0)</f>
        <v>0.94000000000000006</v>
      </c>
      <c r="F62" s="328"/>
      <c r="G62" s="329"/>
      <c r="H62" s="329"/>
      <c r="I62" s="329"/>
      <c r="L62" s="72"/>
    </row>
    <row r="63" spans="1:12" x14ac:dyDescent="0.2">
      <c r="A63" s="71"/>
      <c r="D63" s="244"/>
      <c r="E63" s="101"/>
      <c r="L63" s="72"/>
    </row>
    <row r="64" spans="1:12" ht="17" x14ac:dyDescent="0.2">
      <c r="A64" s="71"/>
      <c r="E64" s="102" t="s">
        <v>0</v>
      </c>
      <c r="F64" s="102" t="s">
        <v>1</v>
      </c>
      <c r="G64" s="102" t="s">
        <v>2</v>
      </c>
      <c r="H64" s="102" t="s">
        <v>3</v>
      </c>
      <c r="I64" s="102" t="s">
        <v>4</v>
      </c>
      <c r="L64" s="72"/>
    </row>
    <row r="65" spans="1:12" x14ac:dyDescent="0.2">
      <c r="A65" s="71"/>
      <c r="D65" s="57" t="s">
        <v>365</v>
      </c>
      <c r="E65" s="103">
        <f>IFERROR(ROUNDUP(G7/(G7+G8),2),0)</f>
        <v>0.67</v>
      </c>
      <c r="F65" s="104">
        <f>IFERROR(ROUNDUP(J7/(J7+J8),2),0)</f>
        <v>1</v>
      </c>
      <c r="G65" s="104">
        <f>IFERROR(ROUNDUP(G19/(G19+G20),2),0)</f>
        <v>0.08</v>
      </c>
      <c r="H65" s="104">
        <f>IFERROR(ROUNDUP(J19/(J19+J20),2),0)</f>
        <v>0</v>
      </c>
      <c r="I65" s="104">
        <f>IFERROR(ROUNDUP(G31/(G31+G32),2),0)</f>
        <v>1</v>
      </c>
      <c r="L65" s="72"/>
    </row>
    <row r="66" spans="1:12" x14ac:dyDescent="0.2">
      <c r="A66" s="71"/>
      <c r="D66" s="57" t="s">
        <v>60</v>
      </c>
      <c r="E66" s="103">
        <f>IFERROR(ROUNDUP(F7/(F7+F8),2),0)</f>
        <v>0</v>
      </c>
      <c r="F66" s="104">
        <f>IFERROR(ROUNDUP(I7/(I7+I8),2),0)</f>
        <v>0</v>
      </c>
      <c r="G66" s="104">
        <f>IFERROR(ROUNDUP(F19/(F19+F20),2),0)</f>
        <v>0.08</v>
      </c>
      <c r="H66" s="104">
        <f>IFERROR(ROUNDUP(I19/(I19+I20),2),0)</f>
        <v>0</v>
      </c>
      <c r="I66" s="104">
        <f>IFERROR(ROUNDUP(F31/(F31+F32),2),0)</f>
        <v>1</v>
      </c>
      <c r="L66" s="72"/>
    </row>
    <row r="67" spans="1:12" x14ac:dyDescent="0.2">
      <c r="A67" s="71"/>
      <c r="D67" s="57" t="s">
        <v>61</v>
      </c>
      <c r="E67" s="104">
        <f>IFERROR(ROUNDUP((F7+(E7*$E$62))/(G7+G8),2),0)</f>
        <v>0.63</v>
      </c>
      <c r="F67" s="104">
        <f>IFERROR(ROUNDUP((I7+(H7*$E$62))/(J7+J8),2),0)</f>
        <v>0.94</v>
      </c>
      <c r="G67" s="104">
        <f>IFERROR(ROUNDUP((F19+(E19*$E$62))/(G19+G20),2),0)</f>
        <v>0.08</v>
      </c>
      <c r="H67" s="104">
        <f>IFERROR(ROUNDUP((I19+(H19*$E$62))/(J19+J20),2),0)</f>
        <v>0</v>
      </c>
      <c r="I67" s="104">
        <f>IFERROR(ROUNDUP((E31+(F31*$E$62))/(G31+G32),2),0)</f>
        <v>0.94</v>
      </c>
      <c r="L67" s="72"/>
    </row>
    <row r="68" spans="1:12" x14ac:dyDescent="0.2">
      <c r="A68" s="71"/>
      <c r="D68" s="245" t="s">
        <v>76</v>
      </c>
      <c r="E68" s="101"/>
      <c r="F68" s="101"/>
      <c r="G68" s="101"/>
      <c r="H68" s="101"/>
      <c r="I68" s="101"/>
      <c r="L68" s="72"/>
    </row>
    <row r="69" spans="1:12" x14ac:dyDescent="0.2">
      <c r="A69" s="71"/>
      <c r="L69" s="72"/>
    </row>
    <row r="70" spans="1:12" ht="17" thickBot="1" x14ac:dyDescent="0.25">
      <c r="A70" s="71"/>
      <c r="L70" s="72"/>
    </row>
    <row r="71" spans="1:12" ht="16" customHeight="1" x14ac:dyDescent="0.2">
      <c r="A71" s="71"/>
      <c r="B71" s="322" t="s">
        <v>360</v>
      </c>
      <c r="C71" s="323"/>
      <c r="D71" s="323"/>
      <c r="E71" s="323"/>
      <c r="F71" s="323"/>
      <c r="G71" s="323"/>
      <c r="H71" s="323"/>
      <c r="I71" s="323"/>
      <c r="J71" s="323"/>
      <c r="K71" s="324"/>
      <c r="L71" s="72"/>
    </row>
    <row r="72" spans="1:12" ht="17" customHeight="1" thickBot="1" x14ac:dyDescent="0.25">
      <c r="A72" s="71"/>
      <c r="B72" s="325"/>
      <c r="C72" s="326"/>
      <c r="D72" s="326"/>
      <c r="E72" s="326"/>
      <c r="F72" s="326"/>
      <c r="G72" s="326"/>
      <c r="H72" s="326"/>
      <c r="I72" s="326"/>
      <c r="J72" s="326"/>
      <c r="K72" s="327"/>
      <c r="L72" s="72"/>
    </row>
    <row r="73" spans="1:12" ht="17" thickBot="1" x14ac:dyDescent="0.25">
      <c r="A73" s="71"/>
      <c r="L73" s="72"/>
    </row>
    <row r="74" spans="1:12" ht="18" thickBot="1" x14ac:dyDescent="0.25">
      <c r="A74" s="71"/>
      <c r="E74" s="108" t="s">
        <v>0</v>
      </c>
      <c r="F74" s="109" t="s">
        <v>1</v>
      </c>
      <c r="G74" s="109" t="s">
        <v>2</v>
      </c>
      <c r="H74" s="109" t="s">
        <v>3</v>
      </c>
      <c r="I74" s="110" t="s">
        <v>4</v>
      </c>
      <c r="L74" s="72"/>
    </row>
    <row r="75" spans="1:12" ht="239" thickBot="1" x14ac:dyDescent="0.25">
      <c r="A75" s="71"/>
      <c r="C75" s="112" t="s">
        <v>420</v>
      </c>
      <c r="D75" s="113" t="s">
        <v>421</v>
      </c>
      <c r="E75" s="156" t="s">
        <v>505</v>
      </c>
      <c r="F75" s="156" t="s">
        <v>422</v>
      </c>
      <c r="G75" s="156" t="s">
        <v>506</v>
      </c>
      <c r="H75" s="156" t="s">
        <v>423</v>
      </c>
      <c r="I75" s="157" t="s">
        <v>507</v>
      </c>
      <c r="L75" s="72"/>
    </row>
    <row r="76" spans="1:12" x14ac:dyDescent="0.2">
      <c r="A76" s="71"/>
      <c r="C76" s="245" t="s">
        <v>513</v>
      </c>
      <c r="L76" s="72"/>
    </row>
    <row r="77" spans="1:12" x14ac:dyDescent="0.2">
      <c r="A77" s="71"/>
      <c r="C77" s="245"/>
      <c r="L77" s="72"/>
    </row>
    <row r="78" spans="1:12" x14ac:dyDescent="0.2">
      <c r="A78" s="71"/>
      <c r="C78" s="245"/>
      <c r="L78" s="72"/>
    </row>
    <row r="79" spans="1:12" x14ac:dyDescent="0.2">
      <c r="A79" s="71"/>
      <c r="C79" s="244" t="s">
        <v>425</v>
      </c>
      <c r="L79" s="72"/>
    </row>
    <row r="80" spans="1:12" ht="17" thickBot="1" x14ac:dyDescent="0.25">
      <c r="A80" s="71"/>
      <c r="L80" s="72"/>
    </row>
    <row r="81" spans="1:22" ht="17" thickBot="1" x14ac:dyDescent="0.25">
      <c r="A81" s="71"/>
      <c r="E81" s="330" t="s">
        <v>0</v>
      </c>
      <c r="F81" s="331"/>
      <c r="G81" s="332"/>
      <c r="H81" s="271" t="s">
        <v>1</v>
      </c>
      <c r="I81" s="272"/>
      <c r="J81" s="273"/>
      <c r="L81" s="72"/>
    </row>
    <row r="82" spans="1:22" ht="18" thickBot="1" x14ac:dyDescent="0.25">
      <c r="A82" s="71"/>
      <c r="E82" s="92" t="s">
        <v>11</v>
      </c>
      <c r="F82" s="97" t="s">
        <v>12</v>
      </c>
      <c r="G82" s="127" t="s">
        <v>5</v>
      </c>
      <c r="H82" s="92" t="s">
        <v>11</v>
      </c>
      <c r="I82" s="97" t="s">
        <v>12</v>
      </c>
      <c r="J82" s="56" t="s">
        <v>5</v>
      </c>
      <c r="L82" s="72"/>
    </row>
    <row r="83" spans="1:22" x14ac:dyDescent="0.2">
      <c r="A83" s="71"/>
      <c r="C83" s="352" t="s">
        <v>359</v>
      </c>
      <c r="D83" s="7" t="s">
        <v>16</v>
      </c>
      <c r="E83" s="173">
        <f>E11</f>
        <v>0</v>
      </c>
      <c r="F83" s="173">
        <f>F11-F11</f>
        <v>0</v>
      </c>
      <c r="G83" s="128">
        <f>E83+F83</f>
        <v>0</v>
      </c>
      <c r="H83" s="173">
        <f>H11-H11</f>
        <v>0</v>
      </c>
      <c r="I83" s="173">
        <f>I11-I11</f>
        <v>0</v>
      </c>
      <c r="J83" s="124">
        <f>H83+I83</f>
        <v>0</v>
      </c>
      <c r="L83" s="72"/>
    </row>
    <row r="84" spans="1:22" x14ac:dyDescent="0.2">
      <c r="A84" s="71"/>
      <c r="C84" s="353"/>
      <c r="D84" s="8" t="s">
        <v>7</v>
      </c>
      <c r="E84" s="174">
        <f>E12</f>
        <v>0</v>
      </c>
      <c r="F84" s="174">
        <f>F12-F12</f>
        <v>0</v>
      </c>
      <c r="G84" s="129">
        <f>E84+F84</f>
        <v>0</v>
      </c>
      <c r="H84" s="174">
        <f>H12-H12</f>
        <v>0</v>
      </c>
      <c r="I84" s="174">
        <f>I12-I12</f>
        <v>0</v>
      </c>
      <c r="J84" s="125">
        <f t="shared" ref="J84:J85" si="18">H84+I84</f>
        <v>0</v>
      </c>
      <c r="L84" s="72"/>
    </row>
    <row r="85" spans="1:22" x14ac:dyDescent="0.2">
      <c r="A85" s="71"/>
      <c r="C85" s="353"/>
      <c r="D85" s="9" t="s">
        <v>362</v>
      </c>
      <c r="E85" s="175">
        <f>E13</f>
        <v>0</v>
      </c>
      <c r="F85" s="175">
        <f>F11+F12+F13</f>
        <v>6100000</v>
      </c>
      <c r="G85" s="129">
        <f>E85+F85</f>
        <v>6100000</v>
      </c>
      <c r="H85" s="175">
        <f>H11+H12+H13</f>
        <v>500000</v>
      </c>
      <c r="I85" s="175">
        <f>I11+I12+I13</f>
        <v>5000000</v>
      </c>
      <c r="J85" s="125">
        <f t="shared" si="18"/>
        <v>5500000</v>
      </c>
      <c r="L85" s="72"/>
    </row>
    <row r="86" spans="1:22" ht="17" thickBot="1" x14ac:dyDescent="0.25">
      <c r="A86" s="71"/>
      <c r="C86" s="353"/>
      <c r="D86" s="9" t="s">
        <v>363</v>
      </c>
      <c r="E86" s="175">
        <f>E14</f>
        <v>0</v>
      </c>
      <c r="F86" s="175">
        <f>F14</f>
        <v>750000</v>
      </c>
      <c r="G86" s="130">
        <f>E86+F86</f>
        <v>750000</v>
      </c>
      <c r="H86" s="175">
        <f>H14</f>
        <v>250000</v>
      </c>
      <c r="I86" s="175">
        <f>I14</f>
        <v>0</v>
      </c>
      <c r="J86" s="126">
        <f>H86+I86</f>
        <v>250000</v>
      </c>
      <c r="L86" s="72"/>
    </row>
    <row r="87" spans="1:22" ht="17" thickBot="1" x14ac:dyDescent="0.25">
      <c r="A87" s="71"/>
      <c r="C87" s="354"/>
      <c r="D87" s="55" t="s">
        <v>520</v>
      </c>
      <c r="E87" s="96">
        <f t="shared" ref="E87:J87" si="19">+SUM(E83:E86)</f>
        <v>0</v>
      </c>
      <c r="F87" s="120">
        <f t="shared" si="19"/>
        <v>6850000</v>
      </c>
      <c r="G87" s="131">
        <f t="shared" si="19"/>
        <v>6850000</v>
      </c>
      <c r="H87" s="96">
        <f t="shared" si="19"/>
        <v>750000</v>
      </c>
      <c r="I87" s="120">
        <f t="shared" si="19"/>
        <v>5000000</v>
      </c>
      <c r="J87" s="62">
        <f t="shared" si="19"/>
        <v>5750000</v>
      </c>
      <c r="L87" s="72"/>
    </row>
    <row r="88" spans="1:22" ht="17" thickBot="1" x14ac:dyDescent="0.25">
      <c r="A88" s="71"/>
      <c r="C88" s="227"/>
      <c r="D88" s="234"/>
      <c r="E88" s="235"/>
      <c r="F88" s="235"/>
      <c r="G88" s="235"/>
      <c r="H88" s="235"/>
      <c r="I88" s="235"/>
      <c r="J88" s="59"/>
      <c r="K88" s="59"/>
      <c r="L88" s="236"/>
      <c r="M88" s="59"/>
      <c r="N88" s="59"/>
      <c r="O88" s="59"/>
      <c r="P88" s="59"/>
      <c r="Q88" s="59"/>
      <c r="R88" s="59"/>
      <c r="S88" s="59"/>
      <c r="T88" s="59"/>
      <c r="U88" s="59"/>
      <c r="V88" s="59"/>
    </row>
    <row r="89" spans="1:22" ht="17" thickBot="1" x14ac:dyDescent="0.25">
      <c r="A89" s="71"/>
      <c r="C89" s="227"/>
      <c r="D89" s="234"/>
      <c r="E89" s="346" t="s">
        <v>2</v>
      </c>
      <c r="F89" s="347"/>
      <c r="G89" s="348"/>
      <c r="H89" s="349" t="s">
        <v>3</v>
      </c>
      <c r="I89" s="350"/>
      <c r="J89" s="351"/>
      <c r="L89" s="72"/>
      <c r="N89" s="59"/>
      <c r="O89" s="59"/>
      <c r="P89" s="59"/>
      <c r="Q89" s="59"/>
      <c r="R89" s="59"/>
      <c r="S89" s="59"/>
      <c r="T89" s="59"/>
      <c r="U89" s="59"/>
      <c r="V89" s="59"/>
    </row>
    <row r="90" spans="1:22" ht="18" thickBot="1" x14ac:dyDescent="0.25">
      <c r="A90" s="71"/>
      <c r="C90" s="227"/>
      <c r="D90" s="234"/>
      <c r="E90" s="136" t="s">
        <v>11</v>
      </c>
      <c r="F90" s="137" t="s">
        <v>12</v>
      </c>
      <c r="G90" s="138" t="s">
        <v>5</v>
      </c>
      <c r="H90" s="136" t="s">
        <v>11</v>
      </c>
      <c r="I90" s="137" t="s">
        <v>12</v>
      </c>
      <c r="J90" s="139" t="s">
        <v>5</v>
      </c>
      <c r="L90" s="72"/>
      <c r="N90" s="59"/>
      <c r="O90" s="59"/>
      <c r="P90" s="59"/>
      <c r="Q90" s="59"/>
      <c r="R90" s="59"/>
      <c r="S90" s="59"/>
      <c r="T90" s="59"/>
      <c r="U90" s="59"/>
      <c r="V90" s="59"/>
    </row>
    <row r="91" spans="1:22" x14ac:dyDescent="0.2">
      <c r="A91" s="71"/>
      <c r="C91" s="352" t="s">
        <v>359</v>
      </c>
      <c r="D91" s="7" t="s">
        <v>16</v>
      </c>
      <c r="E91" s="173">
        <f>E35-E35</f>
        <v>0</v>
      </c>
      <c r="F91" s="173">
        <f>F23</f>
        <v>3000000</v>
      </c>
      <c r="G91" s="128">
        <f>E91+F91</f>
        <v>3000000</v>
      </c>
      <c r="H91" s="173">
        <f t="shared" ref="H91:I94" si="20">H23</f>
        <v>0</v>
      </c>
      <c r="I91" s="173">
        <f t="shared" si="20"/>
        <v>0</v>
      </c>
      <c r="J91" s="124">
        <f>H91+I91</f>
        <v>0</v>
      </c>
      <c r="L91" s="72"/>
      <c r="N91" s="59"/>
      <c r="O91" s="59"/>
      <c r="P91" s="59"/>
      <c r="Q91" s="59"/>
      <c r="R91" s="59"/>
      <c r="S91" s="59"/>
      <c r="T91" s="59"/>
      <c r="U91" s="59"/>
      <c r="V91" s="59"/>
    </row>
    <row r="92" spans="1:22" x14ac:dyDescent="0.2">
      <c r="A92" s="71"/>
      <c r="C92" s="353"/>
      <c r="D92" s="8" t="s">
        <v>7</v>
      </c>
      <c r="E92" s="174">
        <f>E36-E36</f>
        <v>0</v>
      </c>
      <c r="F92" s="174">
        <f>F24</f>
        <v>50000000</v>
      </c>
      <c r="G92" s="129">
        <f>E92+F92</f>
        <v>50000000</v>
      </c>
      <c r="H92" s="174">
        <f t="shared" si="20"/>
        <v>2500000</v>
      </c>
      <c r="I92" s="174">
        <f t="shared" si="20"/>
        <v>50000000</v>
      </c>
      <c r="J92" s="125">
        <f t="shared" ref="J92:J94" si="21">H92+I92</f>
        <v>52500000</v>
      </c>
      <c r="L92" s="72"/>
      <c r="N92" s="59"/>
      <c r="O92" s="59"/>
      <c r="P92" s="59"/>
      <c r="Q92" s="59"/>
      <c r="R92" s="59"/>
      <c r="S92" s="59"/>
      <c r="T92" s="59"/>
      <c r="U92" s="59"/>
      <c r="V92" s="59"/>
    </row>
    <row r="93" spans="1:22" x14ac:dyDescent="0.2">
      <c r="A93" s="71"/>
      <c r="C93" s="353"/>
      <c r="D93" s="9" t="s">
        <v>362</v>
      </c>
      <c r="E93" s="175">
        <f>E35+E36+E37</f>
        <v>2500000</v>
      </c>
      <c r="F93" s="175">
        <f>F25</f>
        <v>10000000</v>
      </c>
      <c r="G93" s="129">
        <f>E93+F93</f>
        <v>12500000</v>
      </c>
      <c r="H93" s="175">
        <f t="shared" si="20"/>
        <v>0</v>
      </c>
      <c r="I93" s="175">
        <f t="shared" si="20"/>
        <v>0</v>
      </c>
      <c r="J93" s="125">
        <f t="shared" si="21"/>
        <v>0</v>
      </c>
      <c r="L93" s="72"/>
      <c r="N93" s="59"/>
      <c r="O93" s="59"/>
      <c r="P93" s="59"/>
      <c r="Q93" s="59"/>
      <c r="R93" s="59"/>
      <c r="S93" s="59"/>
      <c r="T93" s="59"/>
      <c r="U93" s="59"/>
      <c r="V93" s="59"/>
    </row>
    <row r="94" spans="1:22" ht="17" thickBot="1" x14ac:dyDescent="0.25">
      <c r="A94" s="71"/>
      <c r="C94" s="353"/>
      <c r="D94" s="9" t="s">
        <v>363</v>
      </c>
      <c r="E94" s="175">
        <f>E38</f>
        <v>250000</v>
      </c>
      <c r="F94" s="175">
        <f>F26</f>
        <v>0</v>
      </c>
      <c r="G94" s="130">
        <f>E94+F94</f>
        <v>250000</v>
      </c>
      <c r="H94" s="175">
        <f t="shared" si="20"/>
        <v>250000</v>
      </c>
      <c r="I94" s="175">
        <f t="shared" si="20"/>
        <v>0</v>
      </c>
      <c r="J94" s="126">
        <f t="shared" si="21"/>
        <v>250000</v>
      </c>
      <c r="L94" s="72"/>
      <c r="N94" s="59"/>
      <c r="O94" s="59"/>
      <c r="P94" s="59"/>
      <c r="Q94" s="59"/>
      <c r="R94" s="59"/>
      <c r="S94" s="59"/>
      <c r="T94" s="59"/>
      <c r="U94" s="59"/>
      <c r="V94" s="59"/>
    </row>
    <row r="95" spans="1:22" ht="17" thickBot="1" x14ac:dyDescent="0.25">
      <c r="A95" s="71"/>
      <c r="C95" s="354"/>
      <c r="D95" s="55" t="s">
        <v>520</v>
      </c>
      <c r="E95" s="96">
        <f t="shared" ref="E95:J95" si="22">+SUM(E91:E94)</f>
        <v>2750000</v>
      </c>
      <c r="F95" s="120">
        <f t="shared" si="22"/>
        <v>63000000</v>
      </c>
      <c r="G95" s="131">
        <f t="shared" si="22"/>
        <v>65750000</v>
      </c>
      <c r="H95" s="96">
        <f t="shared" si="22"/>
        <v>2750000</v>
      </c>
      <c r="I95" s="120">
        <f t="shared" si="22"/>
        <v>50000000</v>
      </c>
      <c r="J95" s="62">
        <f t="shared" si="22"/>
        <v>52750000</v>
      </c>
      <c r="L95" s="72"/>
      <c r="N95" s="59"/>
      <c r="O95" s="59"/>
      <c r="P95" s="59"/>
      <c r="Q95" s="59"/>
      <c r="R95" s="59"/>
      <c r="S95" s="59"/>
      <c r="T95" s="59"/>
      <c r="U95" s="59"/>
      <c r="V95" s="59"/>
    </row>
    <row r="96" spans="1:22" ht="17" thickBot="1" x14ac:dyDescent="0.25">
      <c r="A96" s="71"/>
      <c r="C96" s="227"/>
      <c r="D96" s="234"/>
      <c r="E96" s="235"/>
      <c r="F96" s="235"/>
      <c r="G96" s="235"/>
      <c r="H96" s="235"/>
      <c r="I96" s="235"/>
      <c r="J96" s="59"/>
      <c r="K96" s="59"/>
      <c r="L96" s="236"/>
      <c r="M96" s="59"/>
      <c r="N96" s="59"/>
      <c r="O96" s="59"/>
      <c r="P96" s="59"/>
      <c r="Q96" s="59"/>
      <c r="R96" s="59"/>
      <c r="S96" s="59"/>
      <c r="T96" s="59"/>
      <c r="U96" s="59"/>
      <c r="V96" s="59"/>
    </row>
    <row r="97" spans="1:22" ht="17" thickBot="1" x14ac:dyDescent="0.25">
      <c r="A97" s="71"/>
      <c r="C97" s="227"/>
      <c r="D97" s="234"/>
      <c r="E97" s="340" t="s">
        <v>4</v>
      </c>
      <c r="F97" s="341"/>
      <c r="G97" s="342"/>
      <c r="H97" s="343" t="s">
        <v>18</v>
      </c>
      <c r="I97" s="344"/>
      <c r="J97" s="345"/>
      <c r="K97" s="59"/>
      <c r="L97" s="236"/>
      <c r="M97" s="59"/>
      <c r="N97" s="59"/>
      <c r="O97" s="59"/>
      <c r="P97" s="59"/>
      <c r="Q97" s="59"/>
      <c r="R97" s="59"/>
      <c r="S97" s="59"/>
      <c r="T97" s="59"/>
      <c r="U97" s="59"/>
      <c r="V97" s="59"/>
    </row>
    <row r="98" spans="1:22" ht="18" thickBot="1" x14ac:dyDescent="0.25">
      <c r="A98" s="71"/>
      <c r="C98" s="227"/>
      <c r="D98" s="234"/>
      <c r="E98" s="136" t="s">
        <v>11</v>
      </c>
      <c r="F98" s="137" t="s">
        <v>12</v>
      </c>
      <c r="G98" s="138" t="s">
        <v>5</v>
      </c>
      <c r="H98" s="148" t="s">
        <v>11</v>
      </c>
      <c r="I98" s="149" t="s">
        <v>12</v>
      </c>
      <c r="J98" s="150" t="s">
        <v>5</v>
      </c>
      <c r="K98" s="59"/>
      <c r="L98" s="236"/>
      <c r="M98" s="59"/>
      <c r="N98" s="59"/>
      <c r="O98" s="59"/>
      <c r="P98" s="59"/>
      <c r="Q98" s="59"/>
      <c r="R98" s="59"/>
      <c r="S98" s="59"/>
      <c r="T98" s="59"/>
      <c r="U98" s="59"/>
      <c r="V98" s="59"/>
    </row>
    <row r="99" spans="1:22" x14ac:dyDescent="0.2">
      <c r="A99" s="71"/>
      <c r="C99" s="352" t="s">
        <v>359</v>
      </c>
      <c r="D99" s="7" t="s">
        <v>16</v>
      </c>
      <c r="E99" s="173">
        <f t="shared" ref="E99:F102" si="23">E35</f>
        <v>2500000</v>
      </c>
      <c r="F99" s="173">
        <f t="shared" si="23"/>
        <v>190000000</v>
      </c>
      <c r="G99" s="128">
        <f>E99+F99</f>
        <v>192500000</v>
      </c>
      <c r="H99" s="98">
        <f t="shared" ref="H99:I102" si="24">E83+H83+E91+H91+E99</f>
        <v>2500000</v>
      </c>
      <c r="I99" s="176">
        <f t="shared" si="24"/>
        <v>193000000</v>
      </c>
      <c r="J99" s="124">
        <f>H99+I99</f>
        <v>195500000</v>
      </c>
      <c r="K99" s="59"/>
      <c r="L99" s="236"/>
      <c r="M99" s="59"/>
      <c r="N99" s="59"/>
      <c r="O99" s="59"/>
      <c r="P99" s="59"/>
      <c r="Q99" s="59"/>
      <c r="R99" s="59"/>
      <c r="S99" s="59"/>
      <c r="T99" s="59"/>
      <c r="U99" s="59"/>
      <c r="V99" s="59"/>
    </row>
    <row r="100" spans="1:22" x14ac:dyDescent="0.2">
      <c r="A100" s="71"/>
      <c r="C100" s="353"/>
      <c r="D100" s="8" t="s">
        <v>7</v>
      </c>
      <c r="E100" s="174">
        <f t="shared" si="23"/>
        <v>0</v>
      </c>
      <c r="F100" s="174">
        <f t="shared" si="23"/>
        <v>0</v>
      </c>
      <c r="G100" s="129">
        <f t="shared" ref="G100:G102" si="25">E100+F100</f>
        <v>0</v>
      </c>
      <c r="H100" s="177">
        <f t="shared" si="24"/>
        <v>2500000</v>
      </c>
      <c r="I100" s="178">
        <f t="shared" si="24"/>
        <v>100000000</v>
      </c>
      <c r="J100" s="179">
        <f t="shared" ref="J100:J101" si="26">H100+I100</f>
        <v>102500000</v>
      </c>
      <c r="K100" s="59"/>
      <c r="L100" s="236"/>
      <c r="M100" s="59"/>
      <c r="N100" s="59"/>
      <c r="O100" s="59"/>
      <c r="P100" s="59"/>
      <c r="Q100" s="59"/>
      <c r="R100" s="59"/>
      <c r="S100" s="59"/>
      <c r="T100" s="59"/>
      <c r="U100" s="59"/>
      <c r="V100" s="59"/>
    </row>
    <row r="101" spans="1:22" x14ac:dyDescent="0.2">
      <c r="A101" s="71"/>
      <c r="C101" s="353"/>
      <c r="D101" s="9" t="s">
        <v>362</v>
      </c>
      <c r="E101" s="175">
        <f t="shared" si="23"/>
        <v>0</v>
      </c>
      <c r="F101" s="175">
        <f t="shared" si="23"/>
        <v>0</v>
      </c>
      <c r="G101" s="129">
        <f t="shared" si="25"/>
        <v>0</v>
      </c>
      <c r="H101" s="177">
        <f t="shared" si="24"/>
        <v>3000000</v>
      </c>
      <c r="I101" s="178">
        <f t="shared" si="24"/>
        <v>21100000</v>
      </c>
      <c r="J101" s="179">
        <f t="shared" si="26"/>
        <v>24100000</v>
      </c>
      <c r="K101" s="59"/>
      <c r="L101" s="236"/>
      <c r="M101" s="59"/>
      <c r="N101" s="59"/>
      <c r="O101" s="59"/>
      <c r="P101" s="59"/>
      <c r="Q101" s="59"/>
      <c r="R101" s="59"/>
      <c r="S101" s="59"/>
      <c r="T101" s="59"/>
      <c r="U101" s="59"/>
      <c r="V101" s="59"/>
    </row>
    <row r="102" spans="1:22" ht="17" thickBot="1" x14ac:dyDescent="0.25">
      <c r="A102" s="71"/>
      <c r="C102" s="353"/>
      <c r="D102" s="9" t="s">
        <v>363</v>
      </c>
      <c r="E102" s="175">
        <f t="shared" si="23"/>
        <v>250000</v>
      </c>
      <c r="F102" s="175">
        <f t="shared" si="23"/>
        <v>0</v>
      </c>
      <c r="G102" s="130">
        <f t="shared" si="25"/>
        <v>250000</v>
      </c>
      <c r="H102" s="180">
        <f t="shared" si="24"/>
        <v>1000000</v>
      </c>
      <c r="I102" s="181">
        <f t="shared" si="24"/>
        <v>750000</v>
      </c>
      <c r="J102" s="182">
        <f t="shared" ref="J102" si="27">H102+I102</f>
        <v>1750000</v>
      </c>
      <c r="K102" s="59"/>
      <c r="L102" s="230"/>
      <c r="M102" s="59"/>
      <c r="N102" s="59"/>
      <c r="O102" s="59"/>
      <c r="P102" s="59"/>
      <c r="Q102" s="59"/>
      <c r="R102" s="59"/>
      <c r="S102" s="59"/>
      <c r="T102" s="59"/>
      <c r="U102" s="59"/>
      <c r="V102" s="59"/>
    </row>
    <row r="103" spans="1:22" ht="17" thickBot="1" x14ac:dyDescent="0.25">
      <c r="A103" s="71"/>
      <c r="C103" s="354"/>
      <c r="D103" s="55" t="s">
        <v>520</v>
      </c>
      <c r="E103" s="96">
        <f t="shared" ref="E103:I103" si="28">+SUM(E99:E102)</f>
        <v>2750000</v>
      </c>
      <c r="F103" s="120">
        <f t="shared" si="28"/>
        <v>190000000</v>
      </c>
      <c r="G103" s="131">
        <f t="shared" si="28"/>
        <v>192750000</v>
      </c>
      <c r="H103" s="96">
        <f t="shared" si="28"/>
        <v>9000000</v>
      </c>
      <c r="I103" s="120">
        <f t="shared" si="28"/>
        <v>314850000</v>
      </c>
      <c r="J103" s="62">
        <f>+SUM(J99:J102)</f>
        <v>323850000</v>
      </c>
      <c r="K103" s="59"/>
      <c r="L103" s="236"/>
      <c r="M103" s="59"/>
      <c r="N103" s="59"/>
      <c r="O103" s="59"/>
      <c r="P103" s="59"/>
      <c r="Q103" s="59"/>
      <c r="R103" s="59"/>
      <c r="S103" s="59"/>
      <c r="T103" s="59"/>
      <c r="U103" s="59"/>
      <c r="V103" s="59"/>
    </row>
    <row r="104" spans="1:22" x14ac:dyDescent="0.2">
      <c r="A104" s="71"/>
      <c r="L104" s="72"/>
    </row>
    <row r="105" spans="1:22" ht="17" thickBot="1" x14ac:dyDescent="0.25">
      <c r="A105" s="78"/>
      <c r="B105" s="79"/>
      <c r="C105" s="79"/>
      <c r="D105" s="79"/>
      <c r="E105" s="250"/>
      <c r="F105" s="250"/>
      <c r="G105" s="250"/>
      <c r="H105" s="250"/>
      <c r="I105" s="250"/>
      <c r="J105" s="79"/>
      <c r="K105" s="79"/>
      <c r="L105" s="80"/>
    </row>
    <row r="106" spans="1:22" x14ac:dyDescent="0.2">
      <c r="A106" s="64"/>
      <c r="B106" s="65"/>
      <c r="C106" s="259" t="s">
        <v>426</v>
      </c>
      <c r="D106" s="65"/>
      <c r="E106" s="233"/>
      <c r="F106" s="233"/>
      <c r="G106" s="233"/>
      <c r="H106" s="233"/>
      <c r="I106" s="233"/>
      <c r="J106" s="65"/>
      <c r="K106" s="65"/>
      <c r="L106" s="66"/>
    </row>
    <row r="107" spans="1:22" ht="17" thickBot="1" x14ac:dyDescent="0.25">
      <c r="A107" s="71"/>
      <c r="D107" s="2"/>
      <c r="E107" s="100"/>
      <c r="F107" s="100"/>
      <c r="L107" s="72"/>
    </row>
    <row r="108" spans="1:22" ht="17" thickBot="1" x14ac:dyDescent="0.25">
      <c r="A108" s="71"/>
      <c r="D108" s="2"/>
      <c r="E108" s="330" t="s">
        <v>0</v>
      </c>
      <c r="F108" s="331"/>
      <c r="G108" s="332"/>
      <c r="H108" s="271" t="s">
        <v>1</v>
      </c>
      <c r="I108" s="272"/>
      <c r="J108" s="273"/>
      <c r="L108" s="72"/>
    </row>
    <row r="109" spans="1:22" ht="17" x14ac:dyDescent="0.2">
      <c r="A109" s="71"/>
      <c r="E109" s="148" t="s">
        <v>11</v>
      </c>
      <c r="F109" s="149" t="s">
        <v>12</v>
      </c>
      <c r="G109" s="150" t="s">
        <v>5</v>
      </c>
      <c r="H109" s="148" t="s">
        <v>11</v>
      </c>
      <c r="I109" s="149" t="s">
        <v>12</v>
      </c>
      <c r="J109" s="150" t="s">
        <v>5</v>
      </c>
      <c r="L109" s="72"/>
    </row>
    <row r="110" spans="1:22" x14ac:dyDescent="0.2">
      <c r="A110" s="71"/>
      <c r="D110" s="135" t="s">
        <v>427</v>
      </c>
      <c r="E110" s="140">
        <f>E13*0.2*(1-$E$65)+E12*0.2</f>
        <v>0</v>
      </c>
      <c r="F110" s="144">
        <f>F13*0.2*(1-$E$65)+F12*0.2</f>
        <v>151999.99999999997</v>
      </c>
      <c r="G110" s="151">
        <f>SUM(E110:F110)</f>
        <v>151999.99999999997</v>
      </c>
      <c r="H110" s="140">
        <f>H13*0.2*(1-$F$65)+H12*0.2</f>
        <v>0</v>
      </c>
      <c r="I110" s="144">
        <f>I13*0.2*(1-$F$65)+I12*0.2</f>
        <v>0</v>
      </c>
      <c r="J110" s="151">
        <f>SUM(H110:I110)</f>
        <v>0</v>
      </c>
      <c r="L110" s="72"/>
    </row>
    <row r="111" spans="1:22" ht="17" thickBot="1" x14ac:dyDescent="0.25">
      <c r="A111" s="71"/>
      <c r="D111" s="135" t="s">
        <v>391</v>
      </c>
      <c r="E111" s="146"/>
      <c r="F111" s="147">
        <f>F85*0.2*(1-$E$62)+F84*0.2</f>
        <v>73199.999999999927</v>
      </c>
      <c r="G111" s="151">
        <f>SUM(E111:F111)</f>
        <v>73199.999999999927</v>
      </c>
      <c r="H111" s="146"/>
      <c r="I111" s="147">
        <f>I85*0.2*(1-$E$62)+I84*0.2</f>
        <v>59999.999999999942</v>
      </c>
      <c r="J111" s="151">
        <f>SUM(H111:I111)</f>
        <v>59999.999999999942</v>
      </c>
      <c r="L111" s="72"/>
    </row>
    <row r="112" spans="1:22" ht="17" thickBot="1" x14ac:dyDescent="0.25">
      <c r="A112" s="71"/>
      <c r="D112" s="135" t="s">
        <v>392</v>
      </c>
      <c r="E112" s="152">
        <f>E110-E111</f>
        <v>0</v>
      </c>
      <c r="F112" s="152">
        <f>F110-F111</f>
        <v>78800.000000000044</v>
      </c>
      <c r="G112" s="152">
        <f t="shared" ref="G112:J112" si="29">G110-G111</f>
        <v>78800.000000000044</v>
      </c>
      <c r="H112" s="152">
        <f t="shared" si="29"/>
        <v>0</v>
      </c>
      <c r="I112" s="152">
        <f t="shared" si="29"/>
        <v>-59999.999999999942</v>
      </c>
      <c r="J112" s="152">
        <f t="shared" si="29"/>
        <v>-59999.999999999942</v>
      </c>
      <c r="L112" s="72"/>
    </row>
    <row r="113" spans="1:12" ht="17" thickBot="1" x14ac:dyDescent="0.25">
      <c r="A113" s="71"/>
      <c r="D113" s="246"/>
      <c r="E113" s="145"/>
      <c r="F113" s="247"/>
      <c r="G113" s="247"/>
      <c r="H113" s="247"/>
      <c r="I113" s="247"/>
      <c r="J113" s="1"/>
      <c r="L113" s="72"/>
    </row>
    <row r="114" spans="1:12" ht="17" thickBot="1" x14ac:dyDescent="0.25">
      <c r="A114" s="71"/>
      <c r="D114" s="2"/>
      <c r="E114" s="340" t="s">
        <v>2</v>
      </c>
      <c r="F114" s="341"/>
      <c r="G114" s="342"/>
      <c r="H114" s="343" t="s">
        <v>3</v>
      </c>
      <c r="I114" s="344"/>
      <c r="J114" s="345"/>
      <c r="L114" s="72"/>
    </row>
    <row r="115" spans="1:12" ht="17" x14ac:dyDescent="0.2">
      <c r="A115" s="71"/>
      <c r="E115" s="148" t="s">
        <v>11</v>
      </c>
      <c r="F115" s="149" t="s">
        <v>12</v>
      </c>
      <c r="G115" s="150" t="s">
        <v>5</v>
      </c>
      <c r="H115" s="148" t="s">
        <v>11</v>
      </c>
      <c r="I115" s="149" t="s">
        <v>12</v>
      </c>
      <c r="J115" s="150" t="s">
        <v>5</v>
      </c>
      <c r="L115" s="72"/>
    </row>
    <row r="116" spans="1:12" x14ac:dyDescent="0.2">
      <c r="A116" s="71"/>
      <c r="D116" s="135" t="s">
        <v>427</v>
      </c>
      <c r="E116" s="140">
        <f>E25*0.2*(1-$G$65)+E24*0.2</f>
        <v>460000</v>
      </c>
      <c r="F116" s="140">
        <f>F25*0.2*(1-$G$65)+F24*0.2</f>
        <v>11840000</v>
      </c>
      <c r="G116" s="151">
        <f>SUM(E116:F116)</f>
        <v>12300000</v>
      </c>
      <c r="H116" s="140">
        <f>H25*0.2*(1-$H$65)+H24*0.2</f>
        <v>500000</v>
      </c>
      <c r="I116" s="140">
        <f>I25*0.2*(1-$H$65)+I24*0.2</f>
        <v>10000000</v>
      </c>
      <c r="J116" s="151">
        <f>SUM(H116:I116)</f>
        <v>10500000</v>
      </c>
      <c r="L116" s="72"/>
    </row>
    <row r="117" spans="1:12" ht="17" thickBot="1" x14ac:dyDescent="0.25">
      <c r="A117" s="71"/>
      <c r="D117" s="135" t="s">
        <v>391</v>
      </c>
      <c r="E117" s="142"/>
      <c r="F117" s="141">
        <f>F93*0.2*(1-$E$62)+F92*0.2</f>
        <v>10120000</v>
      </c>
      <c r="G117" s="151">
        <f>SUM(E117:F117)</f>
        <v>10120000</v>
      </c>
      <c r="H117" s="143"/>
      <c r="I117" s="141">
        <f>I93*0.2*(1-$E$62)+I92*0.2</f>
        <v>10000000</v>
      </c>
      <c r="J117" s="151">
        <f>SUM(H117:I117)</f>
        <v>10000000</v>
      </c>
      <c r="L117" s="72"/>
    </row>
    <row r="118" spans="1:12" ht="17" thickBot="1" x14ac:dyDescent="0.25">
      <c r="A118" s="71"/>
      <c r="D118" s="135" t="s">
        <v>392</v>
      </c>
      <c r="E118" s="152">
        <f>E116-E117</f>
        <v>460000</v>
      </c>
      <c r="F118" s="152">
        <f t="shared" ref="F118:I118" si="30">F116-F117</f>
        <v>1720000</v>
      </c>
      <c r="G118" s="152">
        <f t="shared" si="30"/>
        <v>2180000</v>
      </c>
      <c r="H118" s="152">
        <f t="shared" si="30"/>
        <v>500000</v>
      </c>
      <c r="I118" s="152">
        <f t="shared" si="30"/>
        <v>0</v>
      </c>
      <c r="J118" s="152">
        <f>J116-J117</f>
        <v>500000</v>
      </c>
      <c r="L118" s="72"/>
    </row>
    <row r="119" spans="1:12" ht="17" thickBot="1" x14ac:dyDescent="0.25">
      <c r="A119" s="71"/>
      <c r="D119" s="246"/>
      <c r="E119" s="145"/>
      <c r="F119" s="247"/>
      <c r="G119" s="247"/>
      <c r="H119" s="247"/>
      <c r="I119" s="247"/>
      <c r="J119" s="1"/>
      <c r="L119" s="72"/>
    </row>
    <row r="120" spans="1:12" ht="17" thickBot="1" x14ac:dyDescent="0.25">
      <c r="A120" s="71"/>
      <c r="D120" s="2"/>
      <c r="E120" s="346" t="s">
        <v>4</v>
      </c>
      <c r="F120" s="347"/>
      <c r="G120" s="348"/>
      <c r="H120" s="349" t="s">
        <v>18</v>
      </c>
      <c r="I120" s="350"/>
      <c r="J120" s="351"/>
      <c r="L120" s="72"/>
    </row>
    <row r="121" spans="1:12" ht="17" x14ac:dyDescent="0.2">
      <c r="A121" s="71"/>
      <c r="E121" s="148" t="s">
        <v>11</v>
      </c>
      <c r="F121" s="149" t="s">
        <v>12</v>
      </c>
      <c r="G121" s="150" t="s">
        <v>5</v>
      </c>
      <c r="H121" s="148" t="s">
        <v>11</v>
      </c>
      <c r="I121" s="149" t="s">
        <v>12</v>
      </c>
      <c r="J121" s="150" t="s">
        <v>5</v>
      </c>
      <c r="L121" s="72"/>
    </row>
    <row r="122" spans="1:12" x14ac:dyDescent="0.2">
      <c r="A122" s="71"/>
      <c r="D122" s="135" t="s">
        <v>427</v>
      </c>
      <c r="E122" s="140">
        <f>E23*0.2*(1-$E$65)+E22*0.2</f>
        <v>0</v>
      </c>
      <c r="F122" s="140">
        <f>F37*0.2*(1-$E$65)+F36*0.2</f>
        <v>0</v>
      </c>
      <c r="G122" s="151">
        <f>SUM(E122:F122)</f>
        <v>0</v>
      </c>
      <c r="H122" s="153">
        <f>E110+H110+E116+H116+E122</f>
        <v>960000</v>
      </c>
      <c r="I122" s="151">
        <f>F110+I110+F116+I116+F122</f>
        <v>21992000</v>
      </c>
      <c r="J122" s="151">
        <f>SUM(H122:I122)</f>
        <v>22952000</v>
      </c>
      <c r="L122" s="72"/>
    </row>
    <row r="123" spans="1:12" ht="17" thickBot="1" x14ac:dyDescent="0.25">
      <c r="A123" s="71"/>
      <c r="D123" s="135" t="s">
        <v>391</v>
      </c>
      <c r="E123" s="142"/>
      <c r="F123" s="141">
        <f>F101*0.2*(1-$E$62)+F100*0.2</f>
        <v>0</v>
      </c>
      <c r="G123" s="151">
        <f>SUM(E123:F123)</f>
        <v>0</v>
      </c>
      <c r="H123" s="143"/>
      <c r="I123" s="151">
        <f>F111+I111+F117+I117+F123</f>
        <v>20253200</v>
      </c>
      <c r="J123" s="151">
        <f>SUM(H123:I123)</f>
        <v>20253200</v>
      </c>
      <c r="L123" s="72"/>
    </row>
    <row r="124" spans="1:12" ht="17" thickBot="1" x14ac:dyDescent="0.25">
      <c r="A124" s="71"/>
      <c r="D124" s="135" t="s">
        <v>392</v>
      </c>
      <c r="E124" s="152">
        <f>E122-E123</f>
        <v>0</v>
      </c>
      <c r="F124" s="152">
        <f t="shared" ref="F124:J124" si="31">F122-F123</f>
        <v>0</v>
      </c>
      <c r="G124" s="152">
        <f t="shared" si="31"/>
        <v>0</v>
      </c>
      <c r="H124" s="152">
        <f t="shared" si="31"/>
        <v>960000</v>
      </c>
      <c r="I124" s="152">
        <f t="shared" si="31"/>
        <v>1738800</v>
      </c>
      <c r="J124" s="152">
        <f t="shared" si="31"/>
        <v>2698800</v>
      </c>
      <c r="L124" s="72"/>
    </row>
    <row r="125" spans="1:12" x14ac:dyDescent="0.2">
      <c r="A125" s="71"/>
      <c r="D125" s="246"/>
      <c r="E125" s="134"/>
      <c r="F125" s="248"/>
      <c r="G125" s="248"/>
      <c r="H125" s="248"/>
      <c r="I125" s="248"/>
      <c r="L125" s="72"/>
    </row>
    <row r="126" spans="1:12" x14ac:dyDescent="0.2">
      <c r="A126" s="71"/>
      <c r="L126" s="72"/>
    </row>
    <row r="127" spans="1:12" x14ac:dyDescent="0.2">
      <c r="A127" s="71"/>
      <c r="C127" s="10" t="s">
        <v>390</v>
      </c>
      <c r="L127" s="72"/>
    </row>
    <row r="128" spans="1:12" ht="17" thickBot="1" x14ac:dyDescent="0.25">
      <c r="A128" s="71"/>
      <c r="L128" s="72"/>
    </row>
    <row r="129" spans="1:12" ht="18" thickBot="1" x14ac:dyDescent="0.25">
      <c r="A129" s="71"/>
      <c r="E129" s="112" t="s">
        <v>0</v>
      </c>
      <c r="F129" s="154" t="s">
        <v>1</v>
      </c>
      <c r="G129" s="154" t="s">
        <v>2</v>
      </c>
      <c r="H129" s="154" t="s">
        <v>3</v>
      </c>
      <c r="I129" s="155" t="s">
        <v>4</v>
      </c>
      <c r="L129" s="72"/>
    </row>
    <row r="130" spans="1:12" ht="389" thickBot="1" x14ac:dyDescent="0.25">
      <c r="A130" s="71"/>
      <c r="C130" s="112" t="s">
        <v>359</v>
      </c>
      <c r="D130" s="172" t="s">
        <v>424</v>
      </c>
      <c r="E130" s="156" t="s">
        <v>521</v>
      </c>
      <c r="F130" s="156" t="s">
        <v>508</v>
      </c>
      <c r="G130" s="156" t="s">
        <v>509</v>
      </c>
      <c r="H130" s="156" t="s">
        <v>510</v>
      </c>
      <c r="I130" s="157" t="s">
        <v>511</v>
      </c>
      <c r="L130" s="72"/>
    </row>
    <row r="131" spans="1:12" x14ac:dyDescent="0.2">
      <c r="A131" s="71"/>
      <c r="L131" s="72"/>
    </row>
    <row r="132" spans="1:12" ht="17" thickBot="1" x14ac:dyDescent="0.25">
      <c r="A132" s="71"/>
      <c r="L132" s="72"/>
    </row>
    <row r="133" spans="1:12" ht="16" customHeight="1" x14ac:dyDescent="0.2">
      <c r="A133" s="71"/>
      <c r="B133" s="322" t="s">
        <v>72</v>
      </c>
      <c r="C133" s="323"/>
      <c r="D133" s="323"/>
      <c r="E133" s="323"/>
      <c r="F133" s="323"/>
      <c r="G133" s="323"/>
      <c r="H133" s="323"/>
      <c r="I133" s="323"/>
      <c r="J133" s="323"/>
      <c r="K133" s="324"/>
      <c r="L133" s="72"/>
    </row>
    <row r="134" spans="1:12" ht="17" customHeight="1" thickBot="1" x14ac:dyDescent="0.25">
      <c r="A134" s="71"/>
      <c r="B134" s="325"/>
      <c r="C134" s="326"/>
      <c r="D134" s="326"/>
      <c r="E134" s="326"/>
      <c r="F134" s="326"/>
      <c r="G134" s="326"/>
      <c r="H134" s="326"/>
      <c r="I134" s="326"/>
      <c r="J134" s="326"/>
      <c r="K134" s="327"/>
      <c r="L134" s="72"/>
    </row>
    <row r="135" spans="1:12" x14ac:dyDescent="0.2">
      <c r="A135" s="71"/>
      <c r="L135" s="72"/>
    </row>
    <row r="136" spans="1:12" ht="16" customHeight="1" x14ac:dyDescent="0.2">
      <c r="A136" s="71"/>
      <c r="D136" s="249" t="s">
        <v>74</v>
      </c>
      <c r="E136" s="333" t="s">
        <v>73</v>
      </c>
      <c r="F136" s="333"/>
      <c r="G136" s="333"/>
      <c r="H136" s="333"/>
      <c r="I136" s="333"/>
      <c r="L136" s="72"/>
    </row>
    <row r="137" spans="1:12" x14ac:dyDescent="0.2">
      <c r="A137" s="71"/>
      <c r="D137" s="2"/>
      <c r="E137" s="100"/>
      <c r="F137" s="100"/>
      <c r="L137" s="72"/>
    </row>
    <row r="138" spans="1:12" ht="17" x14ac:dyDescent="0.2">
      <c r="A138" s="71"/>
      <c r="D138" s="2"/>
      <c r="E138" s="105" t="s">
        <v>0</v>
      </c>
      <c r="F138" s="105" t="s">
        <v>1</v>
      </c>
      <c r="G138" s="105" t="s">
        <v>2</v>
      </c>
      <c r="H138" s="105" t="s">
        <v>3</v>
      </c>
      <c r="I138" s="105" t="s">
        <v>4</v>
      </c>
      <c r="L138" s="72"/>
    </row>
    <row r="139" spans="1:12" x14ac:dyDescent="0.2">
      <c r="A139" s="71"/>
      <c r="D139" s="58" t="s">
        <v>364</v>
      </c>
      <c r="E139" s="106">
        <f>ROUNDDOWN((G8+G9)/G10,2)</f>
        <v>0.96</v>
      </c>
      <c r="F139" s="107">
        <f>ROUNDDOWN((J8+J9)/J10,2)</f>
        <v>0</v>
      </c>
      <c r="G139" s="107">
        <f>ROUNDDOWN((G20+G21)/G22,2)</f>
        <v>0.92</v>
      </c>
      <c r="H139" s="107">
        <f>ROUNDDOWN((J20+J21)/J22,2)</f>
        <v>1</v>
      </c>
      <c r="I139" s="107">
        <f>ROUNDDOWN((G32+G33)/G34,2)</f>
        <v>0</v>
      </c>
      <c r="L139" s="72"/>
    </row>
    <row r="140" spans="1:12" x14ac:dyDescent="0.2">
      <c r="A140" s="71"/>
      <c r="D140" s="58" t="s">
        <v>75</v>
      </c>
      <c r="E140" s="106">
        <f>ROUNDDOWN((G8+G9+E7)/G10,2)</f>
        <v>1</v>
      </c>
      <c r="F140" s="107">
        <f>ROUNDDOWN((J8+J9+H7)/J10,2)</f>
        <v>1</v>
      </c>
      <c r="G140" s="107">
        <f>ROUNDDOWN((G20+G21+E19)/G22,2)</f>
        <v>0.92</v>
      </c>
      <c r="H140" s="107">
        <f>ROUNDDOWN((J20+J21+H19)/J22,2)</f>
        <v>1</v>
      </c>
      <c r="I140" s="107">
        <f>ROUNDDOWN((E31+G32+G33)/G34,2)</f>
        <v>0</v>
      </c>
      <c r="L140" s="72"/>
    </row>
    <row r="141" spans="1:12" x14ac:dyDescent="0.2">
      <c r="A141" s="71"/>
      <c r="L141" s="72"/>
    </row>
    <row r="142" spans="1:12" ht="17" thickBot="1" x14ac:dyDescent="0.25">
      <c r="A142" s="78"/>
      <c r="B142" s="79"/>
      <c r="C142" s="79"/>
      <c r="D142" s="79"/>
      <c r="E142" s="250"/>
      <c r="F142" s="250"/>
      <c r="G142" s="250"/>
      <c r="H142" s="250"/>
      <c r="I142" s="250"/>
      <c r="J142" s="79"/>
      <c r="K142" s="79"/>
      <c r="L142" s="80"/>
    </row>
  </sheetData>
  <mergeCells count="39">
    <mergeCell ref="E57:I57"/>
    <mergeCell ref="E58:I58"/>
    <mergeCell ref="E60:I60"/>
    <mergeCell ref="C35:C39"/>
    <mergeCell ref="C99:C103"/>
    <mergeCell ref="C91:C95"/>
    <mergeCell ref="E97:G97"/>
    <mergeCell ref="H97:J97"/>
    <mergeCell ref="E81:G81"/>
    <mergeCell ref="H81:J81"/>
    <mergeCell ref="C83:C87"/>
    <mergeCell ref="E89:G89"/>
    <mergeCell ref="H89:J89"/>
    <mergeCell ref="C11:C15"/>
    <mergeCell ref="C23:C27"/>
    <mergeCell ref="H29:J29"/>
    <mergeCell ref="C19:C22"/>
    <mergeCell ref="E56:I56"/>
    <mergeCell ref="E5:G5"/>
    <mergeCell ref="H5:J5"/>
    <mergeCell ref="E17:G17"/>
    <mergeCell ref="H17:J17"/>
    <mergeCell ref="E29:G29"/>
    <mergeCell ref="B2:K3"/>
    <mergeCell ref="F62:I62"/>
    <mergeCell ref="E108:G108"/>
    <mergeCell ref="H108:J108"/>
    <mergeCell ref="E136:I136"/>
    <mergeCell ref="C42:C44"/>
    <mergeCell ref="C46:C49"/>
    <mergeCell ref="B53:K54"/>
    <mergeCell ref="B71:K72"/>
    <mergeCell ref="B133:K134"/>
    <mergeCell ref="E114:G114"/>
    <mergeCell ref="H114:J114"/>
    <mergeCell ref="E120:G120"/>
    <mergeCell ref="H120:J120"/>
    <mergeCell ref="C7:C10"/>
    <mergeCell ref="C31:C34"/>
  </mergeCells>
  <conditionalFormatting sqref="E112:J112">
    <cfRule type="iconSet" priority="1">
      <iconSet iconSet="3Arrows">
        <cfvo type="percent" val="0"/>
        <cfvo type="num" val="0"/>
        <cfvo type="num" val="0" gte="0"/>
      </iconSet>
    </cfRule>
  </conditionalFormatting>
  <conditionalFormatting sqref="E118:J118">
    <cfRule type="iconSet" priority="2">
      <iconSet iconSet="3Arrows">
        <cfvo type="percent" val="0"/>
        <cfvo type="num" val="0"/>
        <cfvo type="num" val="0" gte="0"/>
      </iconSet>
    </cfRule>
  </conditionalFormatting>
  <conditionalFormatting sqref="E124:J124">
    <cfRule type="iconSet" priority="3">
      <iconSet iconSet="3Arrows">
        <cfvo type="percent" val="0"/>
        <cfvo type="percent" val="0"/>
        <cfvo type="percent" val="0" gte="0"/>
      </iconSet>
    </cfRule>
  </conditionalFormatting>
  <pageMargins left="0.7" right="0.7" top="0.75" bottom="0.75" header="0.3" footer="0.3"/>
  <pageSetup paperSize="9" scale="35" orientation="portrait" horizontalDpi="0" verticalDpi="0"/>
  <headerFooter scaleWithDoc="0">
    <oddHeader>&amp;L&amp;"Calibri,Normal"&amp;K000000&amp;F&amp;C&amp;"Calibri,Normal"&amp;K000000                                                   &amp;A&amp;R&amp;"Calibri,Normal"&amp;K000000&amp;P sur &amp;N</oddHeader>
  </headerFooter>
  <rowBreaks count="2" manualBreakCount="2">
    <brk id="51" max="11" man="1"/>
    <brk id="105" max="1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B9CE1-07D9-EA45-A6E7-09A8CAE404CC}">
  <dimension ref="A1:O228"/>
  <sheetViews>
    <sheetView tabSelected="1" view="pageBreakPreview" topLeftCell="A188" zoomScale="132" zoomScaleNormal="86" workbookViewId="0">
      <selection activeCell="B6" sqref="B6:H12"/>
    </sheetView>
  </sheetViews>
  <sheetFormatPr baseColWidth="10" defaultRowHeight="16" x14ac:dyDescent="0.2"/>
  <cols>
    <col min="2" max="2" width="60.83203125" customWidth="1"/>
    <col min="3" max="4" width="13.83203125" customWidth="1"/>
    <col min="5" max="5" width="10.83203125" customWidth="1"/>
    <col min="6" max="6" width="11.6640625" bestFit="1" customWidth="1"/>
    <col min="7" max="7" width="13.1640625" customWidth="1"/>
    <col min="8" max="8" width="14.5" customWidth="1"/>
  </cols>
  <sheetData>
    <row r="1" spans="1:11" ht="17" thickBot="1" x14ac:dyDescent="0.25">
      <c r="A1" s="64"/>
      <c r="B1" s="65"/>
      <c r="C1" s="65"/>
      <c r="D1" s="65"/>
      <c r="E1" s="65"/>
      <c r="F1" s="65"/>
      <c r="G1" s="65"/>
      <c r="H1" s="65"/>
      <c r="I1" s="65"/>
      <c r="J1" s="65"/>
      <c r="K1" s="66"/>
    </row>
    <row r="2" spans="1:11" x14ac:dyDescent="0.2">
      <c r="A2" s="71"/>
      <c r="B2" s="375" t="s">
        <v>485</v>
      </c>
      <c r="C2" s="376"/>
      <c r="D2" s="376"/>
      <c r="E2" s="376"/>
      <c r="F2" s="376"/>
      <c r="G2" s="376"/>
      <c r="H2" s="377"/>
      <c r="K2" s="72"/>
    </row>
    <row r="3" spans="1:11" x14ac:dyDescent="0.2">
      <c r="A3" s="71"/>
      <c r="B3" s="378"/>
      <c r="C3" s="379"/>
      <c r="D3" s="379"/>
      <c r="E3" s="379"/>
      <c r="F3" s="379"/>
      <c r="G3" s="379"/>
      <c r="H3" s="380"/>
      <c r="K3" s="72"/>
    </row>
    <row r="4" spans="1:11" ht="17" thickBot="1" x14ac:dyDescent="0.25">
      <c r="A4" s="71"/>
      <c r="B4" s="381"/>
      <c r="C4" s="382"/>
      <c r="D4" s="382"/>
      <c r="E4" s="382"/>
      <c r="F4" s="382"/>
      <c r="G4" s="382"/>
      <c r="H4" s="383"/>
      <c r="K4" s="72"/>
    </row>
    <row r="5" spans="1:11" x14ac:dyDescent="0.2">
      <c r="A5" s="71"/>
      <c r="K5" s="72"/>
    </row>
    <row r="6" spans="1:11" x14ac:dyDescent="0.2">
      <c r="A6" s="71"/>
      <c r="B6" s="270" t="s">
        <v>542</v>
      </c>
      <c r="C6" s="270"/>
      <c r="D6" s="270"/>
      <c r="E6" s="270"/>
      <c r="F6" s="270"/>
      <c r="G6" s="270"/>
      <c r="H6" s="270"/>
      <c r="K6" s="72"/>
    </row>
    <row r="7" spans="1:11" x14ac:dyDescent="0.2">
      <c r="A7" s="71"/>
      <c r="B7" s="270"/>
      <c r="C7" s="270"/>
      <c r="D7" s="270"/>
      <c r="E7" s="270"/>
      <c r="F7" s="270"/>
      <c r="G7" s="270"/>
      <c r="H7" s="270"/>
      <c r="K7" s="72"/>
    </row>
    <row r="8" spans="1:11" x14ac:dyDescent="0.2">
      <c r="A8" s="71"/>
      <c r="B8" s="270"/>
      <c r="C8" s="270"/>
      <c r="D8" s="270"/>
      <c r="E8" s="270"/>
      <c r="F8" s="270"/>
      <c r="G8" s="270"/>
      <c r="H8" s="270"/>
      <c r="K8" s="72"/>
    </row>
    <row r="9" spans="1:11" x14ac:dyDescent="0.2">
      <c r="A9" s="71"/>
      <c r="B9" s="270"/>
      <c r="C9" s="270"/>
      <c r="D9" s="270"/>
      <c r="E9" s="270"/>
      <c r="F9" s="270"/>
      <c r="G9" s="270"/>
      <c r="H9" s="270"/>
      <c r="K9" s="72"/>
    </row>
    <row r="10" spans="1:11" ht="7" customHeight="1" x14ac:dyDescent="0.2">
      <c r="A10" s="71"/>
      <c r="B10" s="270"/>
      <c r="C10" s="270"/>
      <c r="D10" s="270"/>
      <c r="E10" s="270"/>
      <c r="F10" s="270"/>
      <c r="G10" s="270"/>
      <c r="H10" s="270"/>
      <c r="K10" s="72"/>
    </row>
    <row r="11" spans="1:11" hidden="1" x14ac:dyDescent="0.2">
      <c r="A11" s="71"/>
      <c r="B11" s="270"/>
      <c r="C11" s="270"/>
      <c r="D11" s="270"/>
      <c r="E11" s="270"/>
      <c r="F11" s="270"/>
      <c r="G11" s="270"/>
      <c r="H11" s="270"/>
      <c r="K11" s="72"/>
    </row>
    <row r="12" spans="1:11" ht="63" customHeight="1" x14ac:dyDescent="0.2">
      <c r="A12" s="71"/>
      <c r="B12" s="270"/>
      <c r="C12" s="270"/>
      <c r="D12" s="270"/>
      <c r="E12" s="270"/>
      <c r="F12" s="270"/>
      <c r="G12" s="270"/>
      <c r="H12" s="270"/>
      <c r="K12" s="72"/>
    </row>
    <row r="13" spans="1:11" x14ac:dyDescent="0.2">
      <c r="A13" s="71"/>
      <c r="K13" s="72"/>
    </row>
    <row r="14" spans="1:11" ht="17" thickBot="1" x14ac:dyDescent="0.25">
      <c r="A14" s="71"/>
      <c r="E14" s="224"/>
      <c r="K14" s="72"/>
    </row>
    <row r="15" spans="1:11" ht="34" x14ac:dyDescent="0.2">
      <c r="A15" s="71"/>
      <c r="C15" s="384" t="s">
        <v>52</v>
      </c>
      <c r="D15" s="385"/>
      <c r="E15" s="385"/>
      <c r="F15" s="386"/>
      <c r="G15" s="52" t="s">
        <v>53</v>
      </c>
      <c r="H15" s="53" t="s">
        <v>54</v>
      </c>
      <c r="K15" s="72"/>
    </row>
    <row r="16" spans="1:11" ht="17" thickBot="1" x14ac:dyDescent="0.25">
      <c r="A16" s="71"/>
      <c r="C16" s="387" t="s">
        <v>55</v>
      </c>
      <c r="D16" s="388"/>
      <c r="E16" s="49">
        <v>18258</v>
      </c>
      <c r="F16" s="51">
        <v>9147</v>
      </c>
      <c r="G16" s="50">
        <f>+E16-F16</f>
        <v>9111</v>
      </c>
      <c r="H16" s="37">
        <f>E16</f>
        <v>18258</v>
      </c>
      <c r="K16" s="72"/>
    </row>
    <row r="17" spans="1:11" x14ac:dyDescent="0.2">
      <c r="A17" s="71"/>
      <c r="D17" s="225"/>
      <c r="E17" s="225"/>
      <c r="F17" s="225"/>
      <c r="G17" s="226"/>
      <c r="K17" s="72"/>
    </row>
    <row r="18" spans="1:11" ht="17" thickBot="1" x14ac:dyDescent="0.25">
      <c r="A18" s="71"/>
      <c r="D18" s="225"/>
      <c r="E18" s="225"/>
      <c r="F18" s="225"/>
      <c r="G18" s="226"/>
      <c r="K18" s="72"/>
    </row>
    <row r="19" spans="1:11" ht="18" customHeight="1" thickBot="1" x14ac:dyDescent="0.25">
      <c r="A19" s="71"/>
      <c r="B19" s="364" t="s">
        <v>430</v>
      </c>
      <c r="C19" s="365"/>
      <c r="D19" s="225"/>
      <c r="E19" s="366" t="s">
        <v>59</v>
      </c>
      <c r="F19" s="367"/>
      <c r="G19" s="367"/>
      <c r="H19" s="368"/>
      <c r="K19" s="72"/>
    </row>
    <row r="20" spans="1:11" ht="17" x14ac:dyDescent="0.2">
      <c r="A20" s="71"/>
      <c r="B20" s="36" t="s">
        <v>49</v>
      </c>
      <c r="C20" s="46">
        <v>4.2500000000000003E-2</v>
      </c>
      <c r="D20" s="225"/>
      <c r="E20" s="369"/>
      <c r="F20" s="370"/>
      <c r="G20" s="370"/>
      <c r="H20" s="371"/>
      <c r="K20" s="72"/>
    </row>
    <row r="21" spans="1:11" ht="17" x14ac:dyDescent="0.2">
      <c r="A21" s="71"/>
      <c r="B21" s="30" t="s">
        <v>50</v>
      </c>
      <c r="C21" s="47">
        <v>4.2500000000000003E-2</v>
      </c>
      <c r="D21" s="225"/>
      <c r="E21" s="369"/>
      <c r="F21" s="370"/>
      <c r="G21" s="370"/>
      <c r="H21" s="371"/>
      <c r="K21" s="72"/>
    </row>
    <row r="22" spans="1:11" ht="18" thickBot="1" x14ac:dyDescent="0.25">
      <c r="A22" s="71"/>
      <c r="B22" s="31" t="s">
        <v>51</v>
      </c>
      <c r="C22" s="48">
        <v>9.35E-2</v>
      </c>
      <c r="D22" s="225"/>
      <c r="E22" s="372"/>
      <c r="F22" s="373"/>
      <c r="G22" s="373"/>
      <c r="H22" s="374"/>
      <c r="K22" s="72"/>
    </row>
    <row r="23" spans="1:11" ht="17" thickBot="1" x14ac:dyDescent="0.25">
      <c r="A23" s="71"/>
      <c r="K23" s="72"/>
    </row>
    <row r="24" spans="1:11" ht="22" thickBot="1" x14ac:dyDescent="0.25">
      <c r="A24" s="71"/>
      <c r="B24" s="359" t="s">
        <v>0</v>
      </c>
      <c r="C24" s="360"/>
      <c r="D24" s="360"/>
      <c r="E24" s="360"/>
      <c r="F24" s="360"/>
      <c r="G24" s="360"/>
      <c r="H24" s="361"/>
      <c r="K24" s="72"/>
    </row>
    <row r="25" spans="1:11" x14ac:dyDescent="0.2">
      <c r="A25" s="71"/>
      <c r="K25" s="72"/>
    </row>
    <row r="26" spans="1:11" x14ac:dyDescent="0.2">
      <c r="A26" s="71"/>
      <c r="B26" s="358" t="s">
        <v>41</v>
      </c>
      <c r="C26" s="358" t="s">
        <v>43</v>
      </c>
      <c r="D26" s="358" t="s">
        <v>42</v>
      </c>
      <c r="F26" s="358" t="s">
        <v>57</v>
      </c>
      <c r="G26" s="358"/>
      <c r="H26" s="358"/>
      <c r="J26" s="362"/>
      <c r="K26" s="363"/>
    </row>
    <row r="27" spans="1:11" ht="34" customHeight="1" x14ac:dyDescent="0.2">
      <c r="A27" s="71"/>
      <c r="B27" s="358"/>
      <c r="C27" s="358"/>
      <c r="D27" s="358"/>
      <c r="F27" s="32" t="s">
        <v>56</v>
      </c>
      <c r="G27" s="32" t="s">
        <v>53</v>
      </c>
      <c r="H27" s="32" t="s">
        <v>54</v>
      </c>
      <c r="K27" s="72"/>
    </row>
    <row r="28" spans="1:11" x14ac:dyDescent="0.2">
      <c r="A28" s="71"/>
      <c r="B28" s="14" t="s">
        <v>35</v>
      </c>
      <c r="C28" s="6">
        <v>20000</v>
      </c>
      <c r="D28" s="28">
        <f>C28*12</f>
        <v>240000</v>
      </c>
      <c r="F28" s="28">
        <f>D28</f>
        <v>240000</v>
      </c>
      <c r="G28" s="28">
        <f t="shared" ref="G28:G47" si="0">MAX(MIN($D28-$F$16,$G$16),0)</f>
        <v>9111</v>
      </c>
      <c r="H28" s="28">
        <f t="shared" ref="H28:H47" si="1">MAX($D28-$H$16,0)</f>
        <v>221742</v>
      </c>
      <c r="K28" s="72"/>
    </row>
    <row r="29" spans="1:11" x14ac:dyDescent="0.2">
      <c r="A29" s="71"/>
      <c r="B29" s="14" t="s">
        <v>36</v>
      </c>
      <c r="C29" s="6">
        <v>19000</v>
      </c>
      <c r="D29" s="28">
        <f t="shared" ref="D29:D32" si="2">C29*12</f>
        <v>228000</v>
      </c>
      <c r="F29" s="28">
        <f t="shared" ref="F29:F31" si="3">D29</f>
        <v>228000</v>
      </c>
      <c r="G29" s="28">
        <f t="shared" si="0"/>
        <v>9111</v>
      </c>
      <c r="H29" s="28">
        <f t="shared" si="1"/>
        <v>209742</v>
      </c>
      <c r="K29" s="72"/>
    </row>
    <row r="30" spans="1:11" s="1" customFormat="1" x14ac:dyDescent="0.2">
      <c r="A30" s="16"/>
      <c r="B30" s="14" t="s">
        <v>37</v>
      </c>
      <c r="C30" s="6">
        <v>18000</v>
      </c>
      <c r="D30" s="28">
        <f>C30*12</f>
        <v>216000</v>
      </c>
      <c r="F30" s="28">
        <f t="shared" si="3"/>
        <v>216000</v>
      </c>
      <c r="G30" s="28">
        <f t="shared" si="0"/>
        <v>9111</v>
      </c>
      <c r="H30" s="28">
        <f t="shared" si="1"/>
        <v>197742</v>
      </c>
      <c r="K30" s="228"/>
    </row>
    <row r="31" spans="1:11" x14ac:dyDescent="0.2">
      <c r="A31" s="71"/>
      <c r="B31" s="14" t="s">
        <v>38</v>
      </c>
      <c r="C31" s="6">
        <v>17000</v>
      </c>
      <c r="D31" s="28">
        <f t="shared" si="2"/>
        <v>204000</v>
      </c>
      <c r="F31" s="28">
        <f t="shared" si="3"/>
        <v>204000</v>
      </c>
      <c r="G31" s="28">
        <f t="shared" si="0"/>
        <v>9111</v>
      </c>
      <c r="H31" s="28">
        <f t="shared" si="1"/>
        <v>185742</v>
      </c>
      <c r="K31" s="72"/>
    </row>
    <row r="32" spans="1:11" x14ac:dyDescent="0.2">
      <c r="A32" s="71"/>
      <c r="B32" s="14" t="s">
        <v>39</v>
      </c>
      <c r="C32" s="6">
        <v>16000</v>
      </c>
      <c r="D32" s="28">
        <f t="shared" si="2"/>
        <v>192000</v>
      </c>
      <c r="F32" s="28">
        <f>D32</f>
        <v>192000</v>
      </c>
      <c r="G32" s="28">
        <f t="shared" si="0"/>
        <v>9111</v>
      </c>
      <c r="H32" s="28">
        <f t="shared" si="1"/>
        <v>173742</v>
      </c>
      <c r="K32" s="72"/>
    </row>
    <row r="33" spans="1:11" x14ac:dyDescent="0.2">
      <c r="A33" s="71"/>
      <c r="B33" s="14" t="s">
        <v>527</v>
      </c>
      <c r="C33" s="6">
        <v>15000</v>
      </c>
      <c r="D33" s="28">
        <f>C33*12</f>
        <v>180000</v>
      </c>
      <c r="F33" s="28">
        <f>D33</f>
        <v>180000</v>
      </c>
      <c r="G33" s="28">
        <f t="shared" si="0"/>
        <v>9111</v>
      </c>
      <c r="H33" s="28">
        <f t="shared" si="1"/>
        <v>161742</v>
      </c>
      <c r="K33" s="72"/>
    </row>
    <row r="34" spans="1:11" x14ac:dyDescent="0.2">
      <c r="A34" s="71"/>
      <c r="B34" s="14" t="s">
        <v>528</v>
      </c>
      <c r="C34" s="6">
        <v>14000</v>
      </c>
      <c r="D34" s="28">
        <f t="shared" ref="D34" si="4">C34*12</f>
        <v>168000</v>
      </c>
      <c r="F34" s="28">
        <f t="shared" ref="F34:F36" si="5">D34</f>
        <v>168000</v>
      </c>
      <c r="G34" s="28">
        <f t="shared" si="0"/>
        <v>9111</v>
      </c>
      <c r="H34" s="28">
        <f t="shared" si="1"/>
        <v>149742</v>
      </c>
      <c r="K34" s="72"/>
    </row>
    <row r="35" spans="1:11" s="1" customFormat="1" x14ac:dyDescent="0.2">
      <c r="A35" s="16"/>
      <c r="B35" s="14" t="s">
        <v>529</v>
      </c>
      <c r="C35" s="6">
        <v>13000</v>
      </c>
      <c r="D35" s="28">
        <f>C35*12</f>
        <v>156000</v>
      </c>
      <c r="F35" s="28">
        <f t="shared" si="5"/>
        <v>156000</v>
      </c>
      <c r="G35" s="28">
        <f t="shared" si="0"/>
        <v>9111</v>
      </c>
      <c r="H35" s="28">
        <f t="shared" si="1"/>
        <v>137742</v>
      </c>
      <c r="K35" s="228"/>
    </row>
    <row r="36" spans="1:11" x14ac:dyDescent="0.2">
      <c r="A36" s="71"/>
      <c r="B36" s="14" t="s">
        <v>530</v>
      </c>
      <c r="C36" s="6">
        <v>12000</v>
      </c>
      <c r="D36" s="28">
        <f t="shared" ref="D36:D37" si="6">C36*12</f>
        <v>144000</v>
      </c>
      <c r="F36" s="28">
        <f t="shared" si="5"/>
        <v>144000</v>
      </c>
      <c r="G36" s="28">
        <f t="shared" si="0"/>
        <v>9111</v>
      </c>
      <c r="H36" s="28">
        <f t="shared" si="1"/>
        <v>125742</v>
      </c>
      <c r="K36" s="72"/>
    </row>
    <row r="37" spans="1:11" x14ac:dyDescent="0.2">
      <c r="A37" s="71"/>
      <c r="B37" s="14" t="s">
        <v>531</v>
      </c>
      <c r="C37" s="6">
        <v>11000</v>
      </c>
      <c r="D37" s="28">
        <f t="shared" si="6"/>
        <v>132000</v>
      </c>
      <c r="F37" s="28">
        <f>D37</f>
        <v>132000</v>
      </c>
      <c r="G37" s="28">
        <f t="shared" si="0"/>
        <v>9111</v>
      </c>
      <c r="H37" s="28">
        <f t="shared" si="1"/>
        <v>113742</v>
      </c>
      <c r="K37" s="72"/>
    </row>
    <row r="38" spans="1:11" x14ac:dyDescent="0.2">
      <c r="A38" s="71"/>
      <c r="B38" s="14" t="s">
        <v>532</v>
      </c>
      <c r="C38" s="6">
        <v>10000</v>
      </c>
      <c r="D38" s="28">
        <f>C38*12</f>
        <v>120000</v>
      </c>
      <c r="F38" s="28">
        <f>D38</f>
        <v>120000</v>
      </c>
      <c r="G38" s="28">
        <f t="shared" si="0"/>
        <v>9111</v>
      </c>
      <c r="H38" s="28">
        <f t="shared" si="1"/>
        <v>101742</v>
      </c>
      <c r="K38" s="72"/>
    </row>
    <row r="39" spans="1:11" x14ac:dyDescent="0.2">
      <c r="A39" s="71"/>
      <c r="B39" s="14" t="s">
        <v>533</v>
      </c>
      <c r="C39" s="6">
        <v>9000</v>
      </c>
      <c r="D39" s="28">
        <f t="shared" ref="D39" si="7">C39*12</f>
        <v>108000</v>
      </c>
      <c r="F39" s="28">
        <f t="shared" ref="F39:F41" si="8">D39</f>
        <v>108000</v>
      </c>
      <c r="G39" s="28">
        <f t="shared" si="0"/>
        <v>9111</v>
      </c>
      <c r="H39" s="28">
        <f t="shared" si="1"/>
        <v>89742</v>
      </c>
      <c r="K39" s="72"/>
    </row>
    <row r="40" spans="1:11" s="1" customFormat="1" x14ac:dyDescent="0.2">
      <c r="A40" s="16"/>
      <c r="B40" s="14" t="s">
        <v>534</v>
      </c>
      <c r="C40" s="6">
        <v>8000</v>
      </c>
      <c r="D40" s="28">
        <f>C40*12</f>
        <v>96000</v>
      </c>
      <c r="F40" s="28">
        <f t="shared" si="8"/>
        <v>96000</v>
      </c>
      <c r="G40" s="28">
        <f t="shared" si="0"/>
        <v>9111</v>
      </c>
      <c r="H40" s="28">
        <f t="shared" si="1"/>
        <v>77742</v>
      </c>
      <c r="K40" s="228"/>
    </row>
    <row r="41" spans="1:11" x14ac:dyDescent="0.2">
      <c r="A41" s="71"/>
      <c r="B41" s="14" t="s">
        <v>535</v>
      </c>
      <c r="C41" s="6">
        <v>7000</v>
      </c>
      <c r="D41" s="28">
        <f t="shared" ref="D41:D43" si="9">C41*12</f>
        <v>84000</v>
      </c>
      <c r="F41" s="28">
        <f t="shared" si="8"/>
        <v>84000</v>
      </c>
      <c r="G41" s="28">
        <f t="shared" si="0"/>
        <v>9111</v>
      </c>
      <c r="H41" s="28">
        <f t="shared" si="1"/>
        <v>65742</v>
      </c>
      <c r="K41" s="72"/>
    </row>
    <row r="42" spans="1:11" x14ac:dyDescent="0.2">
      <c r="A42" s="71"/>
      <c r="B42" s="14" t="s">
        <v>536</v>
      </c>
      <c r="C42" s="6">
        <v>6000</v>
      </c>
      <c r="D42" s="28">
        <f t="shared" si="9"/>
        <v>72000</v>
      </c>
      <c r="F42" s="28">
        <f>D42</f>
        <v>72000</v>
      </c>
      <c r="G42" s="28">
        <f t="shared" si="0"/>
        <v>9111</v>
      </c>
      <c r="H42" s="28">
        <f t="shared" si="1"/>
        <v>53742</v>
      </c>
      <c r="K42" s="72"/>
    </row>
    <row r="43" spans="1:11" x14ac:dyDescent="0.2">
      <c r="A43" s="71"/>
      <c r="B43" s="14" t="s">
        <v>537</v>
      </c>
      <c r="C43" s="6">
        <v>5000</v>
      </c>
      <c r="D43" s="28">
        <f t="shared" si="9"/>
        <v>60000</v>
      </c>
      <c r="F43" s="28">
        <f>D43</f>
        <v>60000</v>
      </c>
      <c r="G43" s="28">
        <f t="shared" si="0"/>
        <v>9111</v>
      </c>
      <c r="H43" s="28">
        <f t="shared" si="1"/>
        <v>41742</v>
      </c>
      <c r="K43" s="72"/>
    </row>
    <row r="44" spans="1:11" x14ac:dyDescent="0.2">
      <c r="A44" s="71"/>
      <c r="B44" s="14" t="s">
        <v>538</v>
      </c>
      <c r="C44" s="6">
        <v>4000</v>
      </c>
      <c r="D44" s="28">
        <f>C44*12</f>
        <v>48000</v>
      </c>
      <c r="F44" s="28">
        <f>D44</f>
        <v>48000</v>
      </c>
      <c r="G44" s="28">
        <f t="shared" si="0"/>
        <v>9111</v>
      </c>
      <c r="H44" s="28">
        <f t="shared" si="1"/>
        <v>29742</v>
      </c>
      <c r="K44" s="72"/>
    </row>
    <row r="45" spans="1:11" x14ac:dyDescent="0.2">
      <c r="A45" s="71"/>
      <c r="B45" s="14" t="s">
        <v>539</v>
      </c>
      <c r="C45" s="6">
        <v>3000</v>
      </c>
      <c r="D45" s="28">
        <f t="shared" ref="D45" si="10">C45*12</f>
        <v>36000</v>
      </c>
      <c r="F45" s="28">
        <f t="shared" ref="F45:F47" si="11">D45</f>
        <v>36000</v>
      </c>
      <c r="G45" s="28">
        <f t="shared" si="0"/>
        <v>9111</v>
      </c>
      <c r="H45" s="28">
        <f t="shared" si="1"/>
        <v>17742</v>
      </c>
      <c r="K45" s="72"/>
    </row>
    <row r="46" spans="1:11" s="1" customFormat="1" x14ac:dyDescent="0.2">
      <c r="A46" s="16"/>
      <c r="B46" s="14" t="s">
        <v>540</v>
      </c>
      <c r="C46" s="6">
        <v>2000</v>
      </c>
      <c r="D46" s="28">
        <f>C46*12</f>
        <v>24000</v>
      </c>
      <c r="F46" s="28">
        <f t="shared" si="11"/>
        <v>24000</v>
      </c>
      <c r="G46" s="28">
        <f t="shared" si="0"/>
        <v>9111</v>
      </c>
      <c r="H46" s="28">
        <f t="shared" si="1"/>
        <v>5742</v>
      </c>
      <c r="K46" s="228"/>
    </row>
    <row r="47" spans="1:11" x14ac:dyDescent="0.2">
      <c r="A47" s="71"/>
      <c r="B47" s="14" t="s">
        <v>541</v>
      </c>
      <c r="C47" s="6">
        <v>1000</v>
      </c>
      <c r="D47" s="28">
        <f t="shared" ref="D47" si="12">C47*12</f>
        <v>12000</v>
      </c>
      <c r="F47" s="28">
        <f t="shared" si="11"/>
        <v>12000</v>
      </c>
      <c r="G47" s="28">
        <f t="shared" si="0"/>
        <v>2853</v>
      </c>
      <c r="H47" s="28">
        <f t="shared" si="1"/>
        <v>0</v>
      </c>
      <c r="K47" s="72"/>
    </row>
    <row r="48" spans="1:11" x14ac:dyDescent="0.2">
      <c r="A48" s="71"/>
      <c r="B48" s="29" t="s">
        <v>44</v>
      </c>
      <c r="C48" s="29">
        <f>SUM(C28:C47)</f>
        <v>210000</v>
      </c>
      <c r="D48" s="29">
        <f>SUM(D28:D47)</f>
        <v>2520000</v>
      </c>
      <c r="F48" s="29">
        <f>SUM(F28:F47)</f>
        <v>2520000</v>
      </c>
      <c r="G48" s="29">
        <f>SUM(G28:G47)</f>
        <v>175962</v>
      </c>
      <c r="H48" s="29">
        <f>SUM(H28:H47)</f>
        <v>2161098</v>
      </c>
      <c r="K48" s="72"/>
    </row>
    <row r="49" spans="1:15" ht="17" thickBot="1" x14ac:dyDescent="0.25">
      <c r="A49" s="71"/>
      <c r="K49" s="72"/>
      <c r="O49" s="26"/>
    </row>
    <row r="50" spans="1:15" ht="22" thickBot="1" x14ac:dyDescent="0.25">
      <c r="A50" s="71"/>
      <c r="B50" s="359" t="s">
        <v>1</v>
      </c>
      <c r="C50" s="360"/>
      <c r="D50" s="360"/>
      <c r="E50" s="360"/>
      <c r="F50" s="360"/>
      <c r="G50" s="360"/>
      <c r="H50" s="361"/>
      <c r="K50" s="72"/>
    </row>
    <row r="51" spans="1:15" x14ac:dyDescent="0.2">
      <c r="A51" s="71"/>
      <c r="K51" s="72"/>
    </row>
    <row r="52" spans="1:15" ht="16" customHeight="1" x14ac:dyDescent="0.2">
      <c r="A52" s="71"/>
      <c r="B52" s="358" t="s">
        <v>41</v>
      </c>
      <c r="C52" s="358" t="s">
        <v>43</v>
      </c>
      <c r="D52" s="358" t="s">
        <v>42</v>
      </c>
      <c r="F52" s="358" t="s">
        <v>57</v>
      </c>
      <c r="G52" s="358"/>
      <c r="H52" s="358"/>
      <c r="K52" s="72"/>
    </row>
    <row r="53" spans="1:15" ht="34" customHeight="1" x14ac:dyDescent="0.2">
      <c r="A53" s="71"/>
      <c r="B53" s="358"/>
      <c r="C53" s="358"/>
      <c r="D53" s="358"/>
      <c r="F53" s="32" t="s">
        <v>56</v>
      </c>
      <c r="G53" s="32" t="s">
        <v>53</v>
      </c>
      <c r="H53" s="32" t="s">
        <v>54</v>
      </c>
      <c r="K53" s="72"/>
    </row>
    <row r="54" spans="1:15" x14ac:dyDescent="0.2">
      <c r="A54" s="71"/>
      <c r="B54" s="14" t="s">
        <v>35</v>
      </c>
      <c r="C54" s="6">
        <v>15000</v>
      </c>
      <c r="D54" s="28">
        <f>C54*12</f>
        <v>180000</v>
      </c>
      <c r="F54" s="28">
        <f>D54</f>
        <v>180000</v>
      </c>
      <c r="G54" s="28">
        <f t="shared" ref="G54:G73" si="13">MAX(MIN($D54-$F$16,$G$16),0)</f>
        <v>9111</v>
      </c>
      <c r="H54" s="28">
        <f t="shared" ref="H54:H73" si="14">MAX($D54-$H$16,0)</f>
        <v>161742</v>
      </c>
      <c r="K54" s="72"/>
    </row>
    <row r="55" spans="1:15" s="1" customFormat="1" x14ac:dyDescent="0.2">
      <c r="A55" s="16"/>
      <c r="B55" s="14" t="s">
        <v>36</v>
      </c>
      <c r="C55" s="6">
        <v>14000</v>
      </c>
      <c r="D55" s="28">
        <f t="shared" ref="D55:D58" si="15">C55*12</f>
        <v>168000</v>
      </c>
      <c r="F55" s="28">
        <f t="shared" ref="F55:F57" si="16">D55</f>
        <v>168000</v>
      </c>
      <c r="G55" s="28">
        <f t="shared" si="13"/>
        <v>9111</v>
      </c>
      <c r="H55" s="28">
        <f t="shared" si="14"/>
        <v>149742</v>
      </c>
      <c r="K55" s="228"/>
    </row>
    <row r="56" spans="1:15" x14ac:dyDescent="0.2">
      <c r="A56" s="71"/>
      <c r="B56" s="14" t="s">
        <v>37</v>
      </c>
      <c r="C56" s="6">
        <v>13000</v>
      </c>
      <c r="D56" s="28">
        <f>C56*12</f>
        <v>156000</v>
      </c>
      <c r="F56" s="28">
        <f t="shared" si="16"/>
        <v>156000</v>
      </c>
      <c r="G56" s="28">
        <f t="shared" si="13"/>
        <v>9111</v>
      </c>
      <c r="H56" s="28">
        <f t="shared" si="14"/>
        <v>137742</v>
      </c>
      <c r="K56" s="72"/>
    </row>
    <row r="57" spans="1:15" x14ac:dyDescent="0.2">
      <c r="A57" s="71"/>
      <c r="B57" s="14" t="s">
        <v>38</v>
      </c>
      <c r="C57" s="6">
        <v>12000</v>
      </c>
      <c r="D57" s="28">
        <f t="shared" si="15"/>
        <v>144000</v>
      </c>
      <c r="F57" s="28">
        <f t="shared" si="16"/>
        <v>144000</v>
      </c>
      <c r="G57" s="28">
        <f t="shared" si="13"/>
        <v>9111</v>
      </c>
      <c r="H57" s="28">
        <f t="shared" si="14"/>
        <v>125742</v>
      </c>
      <c r="K57" s="72"/>
    </row>
    <row r="58" spans="1:15" x14ac:dyDescent="0.2">
      <c r="A58" s="71"/>
      <c r="B58" s="14" t="s">
        <v>39</v>
      </c>
      <c r="C58" s="6">
        <v>11000</v>
      </c>
      <c r="D58" s="28">
        <f t="shared" si="15"/>
        <v>132000</v>
      </c>
      <c r="F58" s="28">
        <f>D58</f>
        <v>132000</v>
      </c>
      <c r="G58" s="28">
        <f t="shared" si="13"/>
        <v>9111</v>
      </c>
      <c r="H58" s="28">
        <f t="shared" si="14"/>
        <v>113742</v>
      </c>
      <c r="K58" s="72"/>
    </row>
    <row r="59" spans="1:15" x14ac:dyDescent="0.2">
      <c r="A59" s="71"/>
      <c r="B59" s="14" t="s">
        <v>527</v>
      </c>
      <c r="C59" s="6">
        <v>10000</v>
      </c>
      <c r="D59" s="28">
        <f>C59*12</f>
        <v>120000</v>
      </c>
      <c r="F59" s="28">
        <f>D59</f>
        <v>120000</v>
      </c>
      <c r="G59" s="28">
        <f t="shared" si="13"/>
        <v>9111</v>
      </c>
      <c r="H59" s="28">
        <f t="shared" si="14"/>
        <v>101742</v>
      </c>
      <c r="K59" s="72"/>
    </row>
    <row r="60" spans="1:15" x14ac:dyDescent="0.2">
      <c r="A60" s="71"/>
      <c r="B60" s="14" t="s">
        <v>528</v>
      </c>
      <c r="C60" s="6">
        <v>9000</v>
      </c>
      <c r="D60" s="28">
        <f t="shared" ref="D60" si="17">C60*12</f>
        <v>108000</v>
      </c>
      <c r="F60" s="28">
        <f t="shared" ref="F60:F62" si="18">D60</f>
        <v>108000</v>
      </c>
      <c r="G60" s="28">
        <f t="shared" si="13"/>
        <v>9111</v>
      </c>
      <c r="H60" s="28">
        <f t="shared" si="14"/>
        <v>89742</v>
      </c>
      <c r="K60" s="72"/>
    </row>
    <row r="61" spans="1:15" s="1" customFormat="1" x14ac:dyDescent="0.2">
      <c r="A61" s="16"/>
      <c r="B61" s="14" t="s">
        <v>529</v>
      </c>
      <c r="C61" s="6">
        <v>8000</v>
      </c>
      <c r="D61" s="28">
        <f>C61*12</f>
        <v>96000</v>
      </c>
      <c r="F61" s="28">
        <f t="shared" si="18"/>
        <v>96000</v>
      </c>
      <c r="G61" s="28">
        <f t="shared" si="13"/>
        <v>9111</v>
      </c>
      <c r="H61" s="28">
        <f t="shared" si="14"/>
        <v>77742</v>
      </c>
      <c r="K61" s="228"/>
    </row>
    <row r="62" spans="1:15" x14ac:dyDescent="0.2">
      <c r="A62" s="71"/>
      <c r="B62" s="14" t="s">
        <v>530</v>
      </c>
      <c r="C62" s="6">
        <v>7000</v>
      </c>
      <c r="D62" s="28">
        <f t="shared" ref="D62:D63" si="19">C62*12</f>
        <v>84000</v>
      </c>
      <c r="F62" s="28">
        <f t="shared" si="18"/>
        <v>84000</v>
      </c>
      <c r="G62" s="28">
        <f t="shared" si="13"/>
        <v>9111</v>
      </c>
      <c r="H62" s="28">
        <f t="shared" si="14"/>
        <v>65742</v>
      </c>
      <c r="K62" s="72"/>
    </row>
    <row r="63" spans="1:15" x14ac:dyDescent="0.2">
      <c r="A63" s="71"/>
      <c r="B63" s="14" t="s">
        <v>531</v>
      </c>
      <c r="C63" s="6">
        <v>6000</v>
      </c>
      <c r="D63" s="28">
        <f t="shared" si="19"/>
        <v>72000</v>
      </c>
      <c r="F63" s="28">
        <f>D63</f>
        <v>72000</v>
      </c>
      <c r="G63" s="28">
        <f t="shared" si="13"/>
        <v>9111</v>
      </c>
      <c r="H63" s="28">
        <f t="shared" si="14"/>
        <v>53742</v>
      </c>
      <c r="K63" s="72"/>
    </row>
    <row r="64" spans="1:15" x14ac:dyDescent="0.2">
      <c r="A64" s="71"/>
      <c r="B64" s="14" t="s">
        <v>532</v>
      </c>
      <c r="C64" s="6">
        <v>5000</v>
      </c>
      <c r="D64" s="28">
        <f>C64*12</f>
        <v>60000</v>
      </c>
      <c r="F64" s="28">
        <f>D64</f>
        <v>60000</v>
      </c>
      <c r="G64" s="28">
        <f t="shared" si="13"/>
        <v>9111</v>
      </c>
      <c r="H64" s="28">
        <f t="shared" si="14"/>
        <v>41742</v>
      </c>
      <c r="K64" s="72"/>
    </row>
    <row r="65" spans="1:15" x14ac:dyDescent="0.2">
      <c r="A65" s="71"/>
      <c r="B65" s="14" t="s">
        <v>533</v>
      </c>
      <c r="C65" s="6">
        <v>4000</v>
      </c>
      <c r="D65" s="28">
        <f t="shared" ref="D65" si="20">C65*12</f>
        <v>48000</v>
      </c>
      <c r="F65" s="28">
        <f t="shared" ref="F65:F67" si="21">D65</f>
        <v>48000</v>
      </c>
      <c r="G65" s="28">
        <f t="shared" si="13"/>
        <v>9111</v>
      </c>
      <c r="H65" s="28">
        <f t="shared" si="14"/>
        <v>29742</v>
      </c>
      <c r="K65" s="72"/>
    </row>
    <row r="66" spans="1:15" s="1" customFormat="1" x14ac:dyDescent="0.2">
      <c r="A66" s="16"/>
      <c r="B66" s="14" t="s">
        <v>534</v>
      </c>
      <c r="C66" s="6">
        <v>3000</v>
      </c>
      <c r="D66" s="28">
        <f>C66*12</f>
        <v>36000</v>
      </c>
      <c r="F66" s="28">
        <f t="shared" si="21"/>
        <v>36000</v>
      </c>
      <c r="G66" s="28">
        <f t="shared" si="13"/>
        <v>9111</v>
      </c>
      <c r="H66" s="28">
        <f t="shared" si="14"/>
        <v>17742</v>
      </c>
      <c r="K66" s="228"/>
    </row>
    <row r="67" spans="1:15" x14ac:dyDescent="0.2">
      <c r="A67" s="71"/>
      <c r="B67" s="14" t="s">
        <v>535</v>
      </c>
      <c r="C67" s="6">
        <v>2000</v>
      </c>
      <c r="D67" s="28">
        <f t="shared" ref="D67:D69" si="22">C67*12</f>
        <v>24000</v>
      </c>
      <c r="F67" s="28">
        <f t="shared" si="21"/>
        <v>24000</v>
      </c>
      <c r="G67" s="28">
        <f t="shared" si="13"/>
        <v>9111</v>
      </c>
      <c r="H67" s="28">
        <f t="shared" si="14"/>
        <v>5742</v>
      </c>
      <c r="K67" s="72"/>
    </row>
    <row r="68" spans="1:15" x14ac:dyDescent="0.2">
      <c r="A68" s="71"/>
      <c r="B68" s="14" t="s">
        <v>536</v>
      </c>
      <c r="C68" s="6">
        <v>1000</v>
      </c>
      <c r="D68" s="28">
        <f t="shared" si="22"/>
        <v>12000</v>
      </c>
      <c r="F68" s="28">
        <f>D68</f>
        <v>12000</v>
      </c>
      <c r="G68" s="28">
        <f t="shared" si="13"/>
        <v>2853</v>
      </c>
      <c r="H68" s="28">
        <f t="shared" si="14"/>
        <v>0</v>
      </c>
      <c r="K68" s="72"/>
    </row>
    <row r="69" spans="1:15" x14ac:dyDescent="0.2">
      <c r="A69" s="71"/>
      <c r="B69" s="14" t="s">
        <v>537</v>
      </c>
      <c r="C69" s="6">
        <v>5000</v>
      </c>
      <c r="D69" s="28">
        <f t="shared" si="22"/>
        <v>60000</v>
      </c>
      <c r="F69" s="28">
        <f>D69</f>
        <v>60000</v>
      </c>
      <c r="G69" s="28">
        <f t="shared" si="13"/>
        <v>9111</v>
      </c>
      <c r="H69" s="28">
        <f t="shared" si="14"/>
        <v>41742</v>
      </c>
      <c r="K69" s="72"/>
    </row>
    <row r="70" spans="1:15" x14ac:dyDescent="0.2">
      <c r="A70" s="71"/>
      <c r="B70" s="14" t="s">
        <v>538</v>
      </c>
      <c r="C70" s="6">
        <v>4000</v>
      </c>
      <c r="D70" s="28">
        <f>C70*12</f>
        <v>48000</v>
      </c>
      <c r="F70" s="28">
        <f>D70</f>
        <v>48000</v>
      </c>
      <c r="G70" s="28">
        <f t="shared" si="13"/>
        <v>9111</v>
      </c>
      <c r="H70" s="28">
        <f t="shared" si="14"/>
        <v>29742</v>
      </c>
      <c r="K70" s="72"/>
    </row>
    <row r="71" spans="1:15" x14ac:dyDescent="0.2">
      <c r="A71" s="71"/>
      <c r="B71" s="14" t="s">
        <v>539</v>
      </c>
      <c r="C71" s="6">
        <v>3000</v>
      </c>
      <c r="D71" s="28">
        <f t="shared" ref="D71" si="23">C71*12</f>
        <v>36000</v>
      </c>
      <c r="F71" s="28">
        <f t="shared" ref="F71:F73" si="24">D71</f>
        <v>36000</v>
      </c>
      <c r="G71" s="28">
        <f t="shared" si="13"/>
        <v>9111</v>
      </c>
      <c r="H71" s="28">
        <f t="shared" si="14"/>
        <v>17742</v>
      </c>
      <c r="K71" s="72"/>
    </row>
    <row r="72" spans="1:15" s="1" customFormat="1" x14ac:dyDescent="0.2">
      <c r="A72" s="16"/>
      <c r="B72" s="14" t="s">
        <v>540</v>
      </c>
      <c r="C72" s="6">
        <v>2000</v>
      </c>
      <c r="D72" s="28">
        <f>C72*12</f>
        <v>24000</v>
      </c>
      <c r="F72" s="28">
        <f t="shared" si="24"/>
        <v>24000</v>
      </c>
      <c r="G72" s="28">
        <f t="shared" si="13"/>
        <v>9111</v>
      </c>
      <c r="H72" s="28">
        <f t="shared" si="14"/>
        <v>5742</v>
      </c>
      <c r="K72" s="228"/>
    </row>
    <row r="73" spans="1:15" x14ac:dyDescent="0.2">
      <c r="A73" s="71"/>
      <c r="B73" s="14" t="s">
        <v>541</v>
      </c>
      <c r="C73" s="6">
        <v>1000</v>
      </c>
      <c r="D73" s="28">
        <f t="shared" ref="D73" si="25">C73*12</f>
        <v>12000</v>
      </c>
      <c r="F73" s="28">
        <f t="shared" si="24"/>
        <v>12000</v>
      </c>
      <c r="G73" s="28">
        <f t="shared" si="13"/>
        <v>2853</v>
      </c>
      <c r="H73" s="28">
        <f t="shared" si="14"/>
        <v>0</v>
      </c>
      <c r="K73" s="72"/>
    </row>
    <row r="74" spans="1:15" x14ac:dyDescent="0.2">
      <c r="A74" s="71"/>
      <c r="B74" s="29" t="s">
        <v>45</v>
      </c>
      <c r="C74" s="29">
        <f>SUM(C54:C73)</f>
        <v>135000</v>
      </c>
      <c r="D74" s="29">
        <f>SUM(D54:D73)</f>
        <v>1620000</v>
      </c>
      <c r="F74" s="29">
        <f>SUM(F54:F73)</f>
        <v>1620000</v>
      </c>
      <c r="G74" s="29">
        <f>SUM(G54:G73)</f>
        <v>169704</v>
      </c>
      <c r="H74" s="29">
        <f>SUM(H54:H73)</f>
        <v>1267356</v>
      </c>
      <c r="K74" s="72"/>
      <c r="O74" s="26"/>
    </row>
    <row r="75" spans="1:15" ht="17" thickBot="1" x14ac:dyDescent="0.25">
      <c r="A75" s="71"/>
      <c r="K75" s="72"/>
      <c r="O75" s="26"/>
    </row>
    <row r="76" spans="1:15" ht="22" thickBot="1" x14ac:dyDescent="0.25">
      <c r="A76" s="71"/>
      <c r="B76" s="359" t="s">
        <v>2</v>
      </c>
      <c r="C76" s="360"/>
      <c r="D76" s="360"/>
      <c r="E76" s="360"/>
      <c r="F76" s="360"/>
      <c r="G76" s="360"/>
      <c r="H76" s="361"/>
      <c r="K76" s="72"/>
    </row>
    <row r="77" spans="1:15" x14ac:dyDescent="0.2">
      <c r="A77" s="71"/>
      <c r="K77" s="72"/>
    </row>
    <row r="78" spans="1:15" ht="16" customHeight="1" x14ac:dyDescent="0.2">
      <c r="A78" s="71"/>
      <c r="B78" s="358" t="s">
        <v>41</v>
      </c>
      <c r="C78" s="358" t="s">
        <v>43</v>
      </c>
      <c r="D78" s="358" t="s">
        <v>42</v>
      </c>
      <c r="F78" s="358" t="s">
        <v>57</v>
      </c>
      <c r="G78" s="358"/>
      <c r="H78" s="358"/>
      <c r="K78" s="72"/>
      <c r="O78" s="27"/>
    </row>
    <row r="79" spans="1:15" ht="34" x14ac:dyDescent="0.2">
      <c r="A79" s="71"/>
      <c r="B79" s="358"/>
      <c r="C79" s="358"/>
      <c r="D79" s="358"/>
      <c r="F79" s="32" t="s">
        <v>56</v>
      </c>
      <c r="G79" s="32" t="s">
        <v>53</v>
      </c>
      <c r="H79" s="32" t="s">
        <v>54</v>
      </c>
      <c r="K79" s="72"/>
    </row>
    <row r="80" spans="1:15" x14ac:dyDescent="0.2">
      <c r="A80" s="71"/>
      <c r="B80" s="14" t="s">
        <v>35</v>
      </c>
      <c r="C80" s="6">
        <v>15000</v>
      </c>
      <c r="D80" s="28">
        <f>C80*12</f>
        <v>180000</v>
      </c>
      <c r="F80" s="28">
        <f>D80</f>
        <v>180000</v>
      </c>
      <c r="G80" s="28">
        <f t="shared" ref="G80:G99" si="26">MAX(MIN($D80-$F$16,$G$16),0)</f>
        <v>9111</v>
      </c>
      <c r="H80" s="28">
        <f t="shared" ref="H80:H99" si="27">MAX($D80-$H$16,0)</f>
        <v>161742</v>
      </c>
      <c r="K80" s="72"/>
    </row>
    <row r="81" spans="1:11" s="1" customFormat="1" x14ac:dyDescent="0.2">
      <c r="A81" s="16"/>
      <c r="B81" s="14" t="s">
        <v>36</v>
      </c>
      <c r="C81" s="6">
        <v>14000</v>
      </c>
      <c r="D81" s="28">
        <f t="shared" ref="D81:D84" si="28">C81*12</f>
        <v>168000</v>
      </c>
      <c r="F81" s="28">
        <f t="shared" ref="F81:F83" si="29">D81</f>
        <v>168000</v>
      </c>
      <c r="G81" s="28">
        <f t="shared" si="26"/>
        <v>9111</v>
      </c>
      <c r="H81" s="28">
        <f t="shared" si="27"/>
        <v>149742</v>
      </c>
      <c r="K81" s="228"/>
    </row>
    <row r="82" spans="1:11" x14ac:dyDescent="0.2">
      <c r="A82" s="71"/>
      <c r="B82" s="14" t="s">
        <v>37</v>
      </c>
      <c r="C82" s="6">
        <v>13000</v>
      </c>
      <c r="D82" s="28">
        <f>C82*12</f>
        <v>156000</v>
      </c>
      <c r="F82" s="28">
        <f t="shared" si="29"/>
        <v>156000</v>
      </c>
      <c r="G82" s="28">
        <f t="shared" si="26"/>
        <v>9111</v>
      </c>
      <c r="H82" s="28">
        <f t="shared" si="27"/>
        <v>137742</v>
      </c>
      <c r="K82" s="72"/>
    </row>
    <row r="83" spans="1:11" x14ac:dyDescent="0.2">
      <c r="A83" s="71"/>
      <c r="B83" s="14" t="s">
        <v>38</v>
      </c>
      <c r="C83" s="6">
        <v>12000</v>
      </c>
      <c r="D83" s="28">
        <f t="shared" si="28"/>
        <v>144000</v>
      </c>
      <c r="F83" s="28">
        <f t="shared" si="29"/>
        <v>144000</v>
      </c>
      <c r="G83" s="28">
        <f t="shared" si="26"/>
        <v>9111</v>
      </c>
      <c r="H83" s="28">
        <f t="shared" si="27"/>
        <v>125742</v>
      </c>
      <c r="K83" s="72"/>
    </row>
    <row r="84" spans="1:11" x14ac:dyDescent="0.2">
      <c r="A84" s="71"/>
      <c r="B84" s="14" t="s">
        <v>39</v>
      </c>
      <c r="C84" s="6">
        <v>11000</v>
      </c>
      <c r="D84" s="28">
        <f t="shared" si="28"/>
        <v>132000</v>
      </c>
      <c r="F84" s="28">
        <f>D84</f>
        <v>132000</v>
      </c>
      <c r="G84" s="28">
        <f t="shared" si="26"/>
        <v>9111</v>
      </c>
      <c r="H84" s="28">
        <f t="shared" si="27"/>
        <v>113742</v>
      </c>
      <c r="K84" s="72"/>
    </row>
    <row r="85" spans="1:11" x14ac:dyDescent="0.2">
      <c r="A85" s="71"/>
      <c r="B85" s="14" t="s">
        <v>527</v>
      </c>
      <c r="C85" s="6">
        <v>10000</v>
      </c>
      <c r="D85" s="28">
        <f>C85*12</f>
        <v>120000</v>
      </c>
      <c r="F85" s="28">
        <f>D85</f>
        <v>120000</v>
      </c>
      <c r="G85" s="28">
        <f t="shared" si="26"/>
        <v>9111</v>
      </c>
      <c r="H85" s="28">
        <f t="shared" si="27"/>
        <v>101742</v>
      </c>
      <c r="K85" s="72"/>
    </row>
    <row r="86" spans="1:11" x14ac:dyDescent="0.2">
      <c r="A86" s="71"/>
      <c r="B86" s="14" t="s">
        <v>528</v>
      </c>
      <c r="C86" s="6">
        <v>9000</v>
      </c>
      <c r="D86" s="28">
        <f t="shared" ref="D86" si="30">C86*12</f>
        <v>108000</v>
      </c>
      <c r="F86" s="28">
        <f t="shared" ref="F86:F88" si="31">D86</f>
        <v>108000</v>
      </c>
      <c r="G86" s="28">
        <f t="shared" si="26"/>
        <v>9111</v>
      </c>
      <c r="H86" s="28">
        <f t="shared" si="27"/>
        <v>89742</v>
      </c>
      <c r="K86" s="72"/>
    </row>
    <row r="87" spans="1:11" s="1" customFormat="1" x14ac:dyDescent="0.2">
      <c r="A87" s="16"/>
      <c r="B87" s="14" t="s">
        <v>529</v>
      </c>
      <c r="C87" s="6">
        <v>8000</v>
      </c>
      <c r="D87" s="28">
        <f>C87*12</f>
        <v>96000</v>
      </c>
      <c r="F87" s="28">
        <f t="shared" si="31"/>
        <v>96000</v>
      </c>
      <c r="G87" s="28">
        <f t="shared" si="26"/>
        <v>9111</v>
      </c>
      <c r="H87" s="28">
        <f t="shared" si="27"/>
        <v>77742</v>
      </c>
      <c r="K87" s="228"/>
    </row>
    <row r="88" spans="1:11" x14ac:dyDescent="0.2">
      <c r="A88" s="71"/>
      <c r="B88" s="14" t="s">
        <v>530</v>
      </c>
      <c r="C88" s="6">
        <v>7000</v>
      </c>
      <c r="D88" s="28">
        <f t="shared" ref="D88:D89" si="32">C88*12</f>
        <v>84000</v>
      </c>
      <c r="F88" s="28">
        <f t="shared" si="31"/>
        <v>84000</v>
      </c>
      <c r="G88" s="28">
        <f t="shared" si="26"/>
        <v>9111</v>
      </c>
      <c r="H88" s="28">
        <f t="shared" si="27"/>
        <v>65742</v>
      </c>
      <c r="K88" s="72"/>
    </row>
    <row r="89" spans="1:11" x14ac:dyDescent="0.2">
      <c r="A89" s="71"/>
      <c r="B89" s="14" t="s">
        <v>531</v>
      </c>
      <c r="C89" s="6">
        <v>6000</v>
      </c>
      <c r="D89" s="28">
        <f t="shared" si="32"/>
        <v>72000</v>
      </c>
      <c r="F89" s="28">
        <f>D89</f>
        <v>72000</v>
      </c>
      <c r="G89" s="28">
        <f t="shared" si="26"/>
        <v>9111</v>
      </c>
      <c r="H89" s="28">
        <f t="shared" si="27"/>
        <v>53742</v>
      </c>
      <c r="K89" s="72"/>
    </row>
    <row r="90" spans="1:11" x14ac:dyDescent="0.2">
      <c r="A90" s="71"/>
      <c r="B90" s="14" t="s">
        <v>532</v>
      </c>
      <c r="C90" s="6">
        <v>5000</v>
      </c>
      <c r="D90" s="28">
        <f>C90*12</f>
        <v>60000</v>
      </c>
      <c r="F90" s="28">
        <f>D90</f>
        <v>60000</v>
      </c>
      <c r="G90" s="28">
        <f t="shared" si="26"/>
        <v>9111</v>
      </c>
      <c r="H90" s="28">
        <f t="shared" si="27"/>
        <v>41742</v>
      </c>
      <c r="K90" s="72"/>
    </row>
    <row r="91" spans="1:11" x14ac:dyDescent="0.2">
      <c r="A91" s="71"/>
      <c r="B91" s="14" t="s">
        <v>533</v>
      </c>
      <c r="C91" s="6">
        <v>4000</v>
      </c>
      <c r="D91" s="28">
        <f t="shared" ref="D91" si="33">C91*12</f>
        <v>48000</v>
      </c>
      <c r="F91" s="28">
        <f t="shared" ref="F91:F93" si="34">D91</f>
        <v>48000</v>
      </c>
      <c r="G91" s="28">
        <f t="shared" si="26"/>
        <v>9111</v>
      </c>
      <c r="H91" s="28">
        <f t="shared" si="27"/>
        <v>29742</v>
      </c>
      <c r="K91" s="72"/>
    </row>
    <row r="92" spans="1:11" s="1" customFormat="1" x14ac:dyDescent="0.2">
      <c r="A92" s="16"/>
      <c r="B92" s="14" t="s">
        <v>534</v>
      </c>
      <c r="C92" s="6">
        <v>3000</v>
      </c>
      <c r="D92" s="28">
        <f>C92*12</f>
        <v>36000</v>
      </c>
      <c r="F92" s="28">
        <f t="shared" si="34"/>
        <v>36000</v>
      </c>
      <c r="G92" s="28">
        <f t="shared" si="26"/>
        <v>9111</v>
      </c>
      <c r="H92" s="28">
        <f t="shared" si="27"/>
        <v>17742</v>
      </c>
      <c r="K92" s="228"/>
    </row>
    <row r="93" spans="1:11" x14ac:dyDescent="0.2">
      <c r="A93" s="71"/>
      <c r="B93" s="14" t="s">
        <v>535</v>
      </c>
      <c r="C93" s="6">
        <v>2000</v>
      </c>
      <c r="D93" s="28">
        <f t="shared" ref="D93:D95" si="35">C93*12</f>
        <v>24000</v>
      </c>
      <c r="F93" s="28">
        <f t="shared" si="34"/>
        <v>24000</v>
      </c>
      <c r="G93" s="28">
        <f t="shared" si="26"/>
        <v>9111</v>
      </c>
      <c r="H93" s="28">
        <f t="shared" si="27"/>
        <v>5742</v>
      </c>
      <c r="K93" s="72"/>
    </row>
    <row r="94" spans="1:11" x14ac:dyDescent="0.2">
      <c r="A94" s="71"/>
      <c r="B94" s="14" t="s">
        <v>536</v>
      </c>
      <c r="C94" s="6">
        <v>1000</v>
      </c>
      <c r="D94" s="28">
        <f t="shared" si="35"/>
        <v>12000</v>
      </c>
      <c r="F94" s="28">
        <f>D94</f>
        <v>12000</v>
      </c>
      <c r="G94" s="28">
        <f t="shared" si="26"/>
        <v>2853</v>
      </c>
      <c r="H94" s="28">
        <f t="shared" si="27"/>
        <v>0</v>
      </c>
      <c r="K94" s="72"/>
    </row>
    <row r="95" spans="1:11" x14ac:dyDescent="0.2">
      <c r="A95" s="71"/>
      <c r="B95" s="14" t="s">
        <v>537</v>
      </c>
      <c r="C95" s="6">
        <v>5000</v>
      </c>
      <c r="D95" s="28">
        <f t="shared" si="35"/>
        <v>60000</v>
      </c>
      <c r="F95" s="28">
        <f>D95</f>
        <v>60000</v>
      </c>
      <c r="G95" s="28">
        <f t="shared" si="26"/>
        <v>9111</v>
      </c>
      <c r="H95" s="28">
        <f t="shared" si="27"/>
        <v>41742</v>
      </c>
      <c r="K95" s="72"/>
    </row>
    <row r="96" spans="1:11" x14ac:dyDescent="0.2">
      <c r="A96" s="71"/>
      <c r="B96" s="14" t="s">
        <v>538</v>
      </c>
      <c r="C96" s="6">
        <v>4000</v>
      </c>
      <c r="D96" s="28">
        <f>C96*12</f>
        <v>48000</v>
      </c>
      <c r="F96" s="28">
        <f>D96</f>
        <v>48000</v>
      </c>
      <c r="G96" s="28">
        <f t="shared" si="26"/>
        <v>9111</v>
      </c>
      <c r="H96" s="28">
        <f t="shared" si="27"/>
        <v>29742</v>
      </c>
      <c r="K96" s="72"/>
    </row>
    <row r="97" spans="1:15" x14ac:dyDescent="0.2">
      <c r="A97" s="71"/>
      <c r="B97" s="14" t="s">
        <v>539</v>
      </c>
      <c r="C97" s="6">
        <v>3000</v>
      </c>
      <c r="D97" s="28">
        <f t="shared" ref="D97" si="36">C97*12</f>
        <v>36000</v>
      </c>
      <c r="F97" s="28">
        <f t="shared" ref="F97:F99" si="37">D97</f>
        <v>36000</v>
      </c>
      <c r="G97" s="28">
        <f t="shared" si="26"/>
        <v>9111</v>
      </c>
      <c r="H97" s="28">
        <f t="shared" si="27"/>
        <v>17742</v>
      </c>
      <c r="K97" s="72"/>
    </row>
    <row r="98" spans="1:15" s="1" customFormat="1" x14ac:dyDescent="0.2">
      <c r="A98" s="16"/>
      <c r="B98" s="14" t="s">
        <v>540</v>
      </c>
      <c r="C98" s="6">
        <v>2000</v>
      </c>
      <c r="D98" s="28">
        <f>C98*12</f>
        <v>24000</v>
      </c>
      <c r="F98" s="28">
        <f t="shared" si="37"/>
        <v>24000</v>
      </c>
      <c r="G98" s="28">
        <f t="shared" si="26"/>
        <v>9111</v>
      </c>
      <c r="H98" s="28">
        <f t="shared" si="27"/>
        <v>5742</v>
      </c>
      <c r="K98" s="228"/>
    </row>
    <row r="99" spans="1:15" x14ac:dyDescent="0.2">
      <c r="A99" s="71"/>
      <c r="B99" s="14" t="s">
        <v>541</v>
      </c>
      <c r="C99" s="6">
        <v>1000</v>
      </c>
      <c r="D99" s="28">
        <f t="shared" ref="D99" si="38">C99*12</f>
        <v>12000</v>
      </c>
      <c r="F99" s="28">
        <f t="shared" si="37"/>
        <v>12000</v>
      </c>
      <c r="G99" s="28">
        <f t="shared" si="26"/>
        <v>2853</v>
      </c>
      <c r="H99" s="28">
        <f t="shared" si="27"/>
        <v>0</v>
      </c>
      <c r="K99" s="72"/>
    </row>
    <row r="100" spans="1:15" x14ac:dyDescent="0.2">
      <c r="A100" s="71"/>
      <c r="B100" s="29" t="s">
        <v>46</v>
      </c>
      <c r="C100" s="29">
        <f>SUM(C80:C99)</f>
        <v>135000</v>
      </c>
      <c r="D100" s="29">
        <f>SUM(D80:D99)</f>
        <v>1620000</v>
      </c>
      <c r="F100" s="29">
        <f>SUM(F80:F99)</f>
        <v>1620000</v>
      </c>
      <c r="G100" s="29">
        <f>SUM(G80:G99)</f>
        <v>169704</v>
      </c>
      <c r="H100" s="29">
        <f>SUM(H80:H99)</f>
        <v>1267356</v>
      </c>
      <c r="K100" s="72"/>
    </row>
    <row r="101" spans="1:15" ht="17" thickBot="1" x14ac:dyDescent="0.25">
      <c r="A101" s="71"/>
      <c r="K101" s="72"/>
      <c r="O101" s="26"/>
    </row>
    <row r="102" spans="1:15" ht="22" thickBot="1" x14ac:dyDescent="0.25">
      <c r="A102" s="71"/>
      <c r="B102" s="359" t="s">
        <v>3</v>
      </c>
      <c r="C102" s="360"/>
      <c r="D102" s="360"/>
      <c r="E102" s="360"/>
      <c r="F102" s="360"/>
      <c r="G102" s="360"/>
      <c r="H102" s="361"/>
      <c r="K102" s="72"/>
    </row>
    <row r="103" spans="1:15" x14ac:dyDescent="0.2">
      <c r="A103" s="71"/>
      <c r="K103" s="72"/>
    </row>
    <row r="104" spans="1:15" ht="16" customHeight="1" x14ac:dyDescent="0.2">
      <c r="A104" s="71"/>
      <c r="B104" s="358" t="s">
        <v>41</v>
      </c>
      <c r="C104" s="358" t="s">
        <v>43</v>
      </c>
      <c r="D104" s="358" t="s">
        <v>42</v>
      </c>
      <c r="F104" s="358" t="s">
        <v>57</v>
      </c>
      <c r="G104" s="358"/>
      <c r="H104" s="358"/>
      <c r="K104" s="72"/>
      <c r="O104" s="27"/>
    </row>
    <row r="105" spans="1:15" ht="34" x14ac:dyDescent="0.2">
      <c r="A105" s="71"/>
      <c r="B105" s="358"/>
      <c r="C105" s="358"/>
      <c r="D105" s="358"/>
      <c r="F105" s="32" t="s">
        <v>56</v>
      </c>
      <c r="G105" s="32" t="s">
        <v>53</v>
      </c>
      <c r="H105" s="32" t="s">
        <v>54</v>
      </c>
      <c r="K105" s="72"/>
    </row>
    <row r="106" spans="1:15" x14ac:dyDescent="0.2">
      <c r="A106" s="71"/>
      <c r="B106" s="14" t="s">
        <v>35</v>
      </c>
      <c r="C106" s="6">
        <v>15000</v>
      </c>
      <c r="D106" s="28">
        <f>C106*12</f>
        <v>180000</v>
      </c>
      <c r="F106" s="28">
        <f>D106</f>
        <v>180000</v>
      </c>
      <c r="G106" s="28">
        <f t="shared" ref="G106:G125" si="39">MAX(MIN($D106-$F$16,$G$16),0)</f>
        <v>9111</v>
      </c>
      <c r="H106" s="28">
        <f t="shared" ref="H106:H125" si="40">MAX($D106-$H$16,0)</f>
        <v>161742</v>
      </c>
      <c r="K106" s="72"/>
    </row>
    <row r="107" spans="1:15" s="1" customFormat="1" x14ac:dyDescent="0.2">
      <c r="A107" s="16"/>
      <c r="B107" s="14" t="s">
        <v>36</v>
      </c>
      <c r="C107" s="6">
        <v>14000</v>
      </c>
      <c r="D107" s="28">
        <f t="shared" ref="D107:D110" si="41">C107*12</f>
        <v>168000</v>
      </c>
      <c r="F107" s="28">
        <f>D107</f>
        <v>168000</v>
      </c>
      <c r="G107" s="28">
        <f t="shared" si="39"/>
        <v>9111</v>
      </c>
      <c r="H107" s="28">
        <f t="shared" si="40"/>
        <v>149742</v>
      </c>
      <c r="K107" s="228"/>
    </row>
    <row r="108" spans="1:15" x14ac:dyDescent="0.2">
      <c r="A108" s="71"/>
      <c r="B108" s="14" t="s">
        <v>37</v>
      </c>
      <c r="C108" s="6">
        <v>13000</v>
      </c>
      <c r="D108" s="28">
        <f>C108*12</f>
        <v>156000</v>
      </c>
      <c r="F108" s="28">
        <f t="shared" ref="F108:F109" si="42">D108</f>
        <v>156000</v>
      </c>
      <c r="G108" s="28">
        <f t="shared" si="39"/>
        <v>9111</v>
      </c>
      <c r="H108" s="28">
        <f t="shared" si="40"/>
        <v>137742</v>
      </c>
      <c r="K108" s="72"/>
    </row>
    <row r="109" spans="1:15" x14ac:dyDescent="0.2">
      <c r="A109" s="71"/>
      <c r="B109" s="14" t="s">
        <v>38</v>
      </c>
      <c r="C109" s="6">
        <v>12000</v>
      </c>
      <c r="D109" s="28">
        <f t="shared" si="41"/>
        <v>144000</v>
      </c>
      <c r="F109" s="28">
        <f t="shared" si="42"/>
        <v>144000</v>
      </c>
      <c r="G109" s="28">
        <f t="shared" si="39"/>
        <v>9111</v>
      </c>
      <c r="H109" s="28">
        <f t="shared" si="40"/>
        <v>125742</v>
      </c>
      <c r="K109" s="72"/>
    </row>
    <row r="110" spans="1:15" x14ac:dyDescent="0.2">
      <c r="A110" s="71"/>
      <c r="B110" s="14" t="s">
        <v>39</v>
      </c>
      <c r="C110" s="6">
        <v>11000</v>
      </c>
      <c r="D110" s="28">
        <f t="shared" si="41"/>
        <v>132000</v>
      </c>
      <c r="F110" s="28">
        <f>D110</f>
        <v>132000</v>
      </c>
      <c r="G110" s="28">
        <f t="shared" si="39"/>
        <v>9111</v>
      </c>
      <c r="H110" s="28">
        <f t="shared" si="40"/>
        <v>113742</v>
      </c>
      <c r="K110" s="72"/>
    </row>
    <row r="111" spans="1:15" x14ac:dyDescent="0.2">
      <c r="A111" s="71"/>
      <c r="B111" s="14" t="s">
        <v>527</v>
      </c>
      <c r="C111" s="6">
        <v>10000</v>
      </c>
      <c r="D111" s="28">
        <f>C111*12</f>
        <v>120000</v>
      </c>
      <c r="F111" s="28">
        <f>D111</f>
        <v>120000</v>
      </c>
      <c r="G111" s="28">
        <f t="shared" si="39"/>
        <v>9111</v>
      </c>
      <c r="H111" s="28">
        <f t="shared" si="40"/>
        <v>101742</v>
      </c>
      <c r="K111" s="72"/>
    </row>
    <row r="112" spans="1:15" x14ac:dyDescent="0.2">
      <c r="A112" s="71"/>
      <c r="B112" s="14" t="s">
        <v>528</v>
      </c>
      <c r="C112" s="6">
        <v>9000</v>
      </c>
      <c r="D112" s="28">
        <f t="shared" ref="D112" si="43">C112*12</f>
        <v>108000</v>
      </c>
      <c r="F112" s="28">
        <f t="shared" ref="F112:F114" si="44">D112</f>
        <v>108000</v>
      </c>
      <c r="G112" s="28">
        <f t="shared" si="39"/>
        <v>9111</v>
      </c>
      <c r="H112" s="28">
        <f t="shared" si="40"/>
        <v>89742</v>
      </c>
      <c r="K112" s="72"/>
    </row>
    <row r="113" spans="1:15" s="1" customFormat="1" x14ac:dyDescent="0.2">
      <c r="A113" s="16"/>
      <c r="B113" s="14" t="s">
        <v>529</v>
      </c>
      <c r="C113" s="6">
        <v>8000</v>
      </c>
      <c r="D113" s="28">
        <f>C113*12</f>
        <v>96000</v>
      </c>
      <c r="F113" s="28">
        <f t="shared" si="44"/>
        <v>96000</v>
      </c>
      <c r="G113" s="28">
        <f t="shared" si="39"/>
        <v>9111</v>
      </c>
      <c r="H113" s="28">
        <f t="shared" si="40"/>
        <v>77742</v>
      </c>
      <c r="K113" s="228"/>
    </row>
    <row r="114" spans="1:15" x14ac:dyDescent="0.2">
      <c r="A114" s="71"/>
      <c r="B114" s="14" t="s">
        <v>530</v>
      </c>
      <c r="C114" s="6">
        <v>7000</v>
      </c>
      <c r="D114" s="28">
        <f t="shared" ref="D114:D115" si="45">C114*12</f>
        <v>84000</v>
      </c>
      <c r="F114" s="28">
        <f t="shared" si="44"/>
        <v>84000</v>
      </c>
      <c r="G114" s="28">
        <f t="shared" si="39"/>
        <v>9111</v>
      </c>
      <c r="H114" s="28">
        <f t="shared" si="40"/>
        <v>65742</v>
      </c>
      <c r="K114" s="72"/>
    </row>
    <row r="115" spans="1:15" x14ac:dyDescent="0.2">
      <c r="A115" s="71"/>
      <c r="B115" s="14" t="s">
        <v>531</v>
      </c>
      <c r="C115" s="6">
        <v>6000</v>
      </c>
      <c r="D115" s="28">
        <f t="shared" si="45"/>
        <v>72000</v>
      </c>
      <c r="F115" s="28">
        <f>D115</f>
        <v>72000</v>
      </c>
      <c r="G115" s="28">
        <f t="shared" si="39"/>
        <v>9111</v>
      </c>
      <c r="H115" s="28">
        <f t="shared" si="40"/>
        <v>53742</v>
      </c>
      <c r="K115" s="72"/>
    </row>
    <row r="116" spans="1:15" x14ac:dyDescent="0.2">
      <c r="A116" s="71"/>
      <c r="B116" s="14" t="s">
        <v>532</v>
      </c>
      <c r="C116" s="6">
        <v>5000</v>
      </c>
      <c r="D116" s="28">
        <f>C116*12</f>
        <v>60000</v>
      </c>
      <c r="F116" s="28">
        <f>D116</f>
        <v>60000</v>
      </c>
      <c r="G116" s="28">
        <f t="shared" si="39"/>
        <v>9111</v>
      </c>
      <c r="H116" s="28">
        <f t="shared" si="40"/>
        <v>41742</v>
      </c>
      <c r="K116" s="72"/>
    </row>
    <row r="117" spans="1:15" x14ac:dyDescent="0.2">
      <c r="A117" s="71"/>
      <c r="B117" s="14" t="s">
        <v>533</v>
      </c>
      <c r="C117" s="6">
        <v>4000</v>
      </c>
      <c r="D117" s="28">
        <f t="shared" ref="D117" si="46">C117*12</f>
        <v>48000</v>
      </c>
      <c r="F117" s="28">
        <f t="shared" ref="F117:F119" si="47">D117</f>
        <v>48000</v>
      </c>
      <c r="G117" s="28">
        <f t="shared" si="39"/>
        <v>9111</v>
      </c>
      <c r="H117" s="28">
        <f t="shared" si="40"/>
        <v>29742</v>
      </c>
      <c r="K117" s="72"/>
    </row>
    <row r="118" spans="1:15" s="1" customFormat="1" x14ac:dyDescent="0.2">
      <c r="A118" s="16"/>
      <c r="B118" s="14" t="s">
        <v>534</v>
      </c>
      <c r="C118" s="6">
        <v>3000</v>
      </c>
      <c r="D118" s="28">
        <f>C118*12</f>
        <v>36000</v>
      </c>
      <c r="F118" s="28">
        <f t="shared" si="47"/>
        <v>36000</v>
      </c>
      <c r="G118" s="28">
        <f t="shared" si="39"/>
        <v>9111</v>
      </c>
      <c r="H118" s="28">
        <f t="shared" si="40"/>
        <v>17742</v>
      </c>
      <c r="K118" s="228"/>
    </row>
    <row r="119" spans="1:15" x14ac:dyDescent="0.2">
      <c r="A119" s="71"/>
      <c r="B119" s="14" t="s">
        <v>535</v>
      </c>
      <c r="C119" s="6">
        <v>2000</v>
      </c>
      <c r="D119" s="28">
        <f t="shared" ref="D119:D121" si="48">C119*12</f>
        <v>24000</v>
      </c>
      <c r="F119" s="28">
        <f t="shared" si="47"/>
        <v>24000</v>
      </c>
      <c r="G119" s="28">
        <f t="shared" si="39"/>
        <v>9111</v>
      </c>
      <c r="H119" s="28">
        <f t="shared" si="40"/>
        <v>5742</v>
      </c>
      <c r="K119" s="72"/>
    </row>
    <row r="120" spans="1:15" x14ac:dyDescent="0.2">
      <c r="A120" s="71"/>
      <c r="B120" s="14" t="s">
        <v>536</v>
      </c>
      <c r="C120" s="6">
        <v>1000</v>
      </c>
      <c r="D120" s="28">
        <f t="shared" si="48"/>
        <v>12000</v>
      </c>
      <c r="F120" s="28">
        <f>D120</f>
        <v>12000</v>
      </c>
      <c r="G120" s="28">
        <f t="shared" si="39"/>
        <v>2853</v>
      </c>
      <c r="H120" s="28">
        <f t="shared" si="40"/>
        <v>0</v>
      </c>
      <c r="K120" s="72"/>
    </row>
    <row r="121" spans="1:15" x14ac:dyDescent="0.2">
      <c r="A121" s="71"/>
      <c r="B121" s="14" t="s">
        <v>537</v>
      </c>
      <c r="C121" s="6">
        <v>5000</v>
      </c>
      <c r="D121" s="28">
        <f t="shared" si="48"/>
        <v>60000</v>
      </c>
      <c r="F121" s="28">
        <f>D121</f>
        <v>60000</v>
      </c>
      <c r="G121" s="28">
        <f t="shared" si="39"/>
        <v>9111</v>
      </c>
      <c r="H121" s="28">
        <f t="shared" si="40"/>
        <v>41742</v>
      </c>
      <c r="K121" s="72"/>
    </row>
    <row r="122" spans="1:15" x14ac:dyDescent="0.2">
      <c r="A122" s="71"/>
      <c r="B122" s="14" t="s">
        <v>538</v>
      </c>
      <c r="C122" s="6">
        <v>4000</v>
      </c>
      <c r="D122" s="28">
        <f>C122*12</f>
        <v>48000</v>
      </c>
      <c r="F122" s="28">
        <f>D122</f>
        <v>48000</v>
      </c>
      <c r="G122" s="28">
        <f t="shared" si="39"/>
        <v>9111</v>
      </c>
      <c r="H122" s="28">
        <f t="shared" si="40"/>
        <v>29742</v>
      </c>
      <c r="K122" s="72"/>
    </row>
    <row r="123" spans="1:15" x14ac:dyDescent="0.2">
      <c r="A123" s="71"/>
      <c r="B123" s="14" t="s">
        <v>539</v>
      </c>
      <c r="C123" s="6">
        <v>3000</v>
      </c>
      <c r="D123" s="28">
        <f t="shared" ref="D123" si="49">C123*12</f>
        <v>36000</v>
      </c>
      <c r="F123" s="28">
        <f t="shared" ref="F123:F125" si="50">D123</f>
        <v>36000</v>
      </c>
      <c r="G123" s="28">
        <f t="shared" si="39"/>
        <v>9111</v>
      </c>
      <c r="H123" s="28">
        <f t="shared" si="40"/>
        <v>17742</v>
      </c>
      <c r="K123" s="72"/>
    </row>
    <row r="124" spans="1:15" s="1" customFormat="1" x14ac:dyDescent="0.2">
      <c r="A124" s="16"/>
      <c r="B124" s="14" t="s">
        <v>540</v>
      </c>
      <c r="C124" s="6">
        <v>2000</v>
      </c>
      <c r="D124" s="28">
        <f>C124*12</f>
        <v>24000</v>
      </c>
      <c r="F124" s="28">
        <f t="shared" si="50"/>
        <v>24000</v>
      </c>
      <c r="G124" s="28">
        <f t="shared" si="39"/>
        <v>9111</v>
      </c>
      <c r="H124" s="28">
        <f t="shared" si="40"/>
        <v>5742</v>
      </c>
      <c r="K124" s="228"/>
    </row>
    <row r="125" spans="1:15" x14ac:dyDescent="0.2">
      <c r="A125" s="71"/>
      <c r="B125" s="14" t="s">
        <v>541</v>
      </c>
      <c r="C125" s="6">
        <v>1000</v>
      </c>
      <c r="D125" s="28">
        <f t="shared" ref="D125" si="51">C125*12</f>
        <v>12000</v>
      </c>
      <c r="F125" s="28">
        <f t="shared" si="50"/>
        <v>12000</v>
      </c>
      <c r="G125" s="28">
        <f t="shared" si="39"/>
        <v>2853</v>
      </c>
      <c r="H125" s="28">
        <f t="shared" si="40"/>
        <v>0</v>
      </c>
      <c r="K125" s="72"/>
    </row>
    <row r="126" spans="1:15" x14ac:dyDescent="0.2">
      <c r="A126" s="71"/>
      <c r="B126" s="29" t="s">
        <v>47</v>
      </c>
      <c r="C126" s="29">
        <f>SUM(C106:C125)</f>
        <v>135000</v>
      </c>
      <c r="D126" s="29">
        <f>SUM(D106:D125)</f>
        <v>1620000</v>
      </c>
      <c r="F126" s="29">
        <f>SUM(F106:F125)</f>
        <v>1620000</v>
      </c>
      <c r="G126" s="29">
        <f>SUM(G106:G125)</f>
        <v>169704</v>
      </c>
      <c r="H126" s="29">
        <f>SUM(H106:H125)</f>
        <v>1267356</v>
      </c>
      <c r="K126" s="72"/>
    </row>
    <row r="127" spans="1:15" ht="17" thickBot="1" x14ac:dyDescent="0.25">
      <c r="A127" s="71"/>
      <c r="K127" s="72"/>
      <c r="O127" s="26"/>
    </row>
    <row r="128" spans="1:15" ht="22" thickBot="1" x14ac:dyDescent="0.25">
      <c r="A128" s="71"/>
      <c r="B128" s="359" t="s">
        <v>4</v>
      </c>
      <c r="C128" s="360"/>
      <c r="D128" s="360"/>
      <c r="E128" s="360"/>
      <c r="F128" s="360"/>
      <c r="G128" s="360"/>
      <c r="H128" s="361"/>
      <c r="K128" s="72"/>
    </row>
    <row r="129" spans="1:15" x14ac:dyDescent="0.2">
      <c r="A129" s="71"/>
      <c r="K129" s="72"/>
    </row>
    <row r="130" spans="1:15" ht="16" customHeight="1" x14ac:dyDescent="0.2">
      <c r="A130" s="71"/>
      <c r="B130" s="358" t="s">
        <v>41</v>
      </c>
      <c r="C130" s="358" t="s">
        <v>43</v>
      </c>
      <c r="D130" s="358" t="s">
        <v>42</v>
      </c>
      <c r="F130" s="358" t="s">
        <v>57</v>
      </c>
      <c r="G130" s="358"/>
      <c r="H130" s="358"/>
      <c r="K130" s="72"/>
      <c r="O130" s="27"/>
    </row>
    <row r="131" spans="1:15" ht="34" x14ac:dyDescent="0.2">
      <c r="A131" s="71"/>
      <c r="B131" s="358"/>
      <c r="C131" s="358"/>
      <c r="D131" s="358"/>
      <c r="F131" s="32" t="s">
        <v>56</v>
      </c>
      <c r="G131" s="32" t="s">
        <v>53</v>
      </c>
      <c r="H131" s="32" t="s">
        <v>54</v>
      </c>
      <c r="K131" s="72"/>
    </row>
    <row r="132" spans="1:15" x14ac:dyDescent="0.2">
      <c r="A132" s="71"/>
      <c r="B132" s="14" t="s">
        <v>35</v>
      </c>
      <c r="C132" s="6">
        <v>15000</v>
      </c>
      <c r="D132" s="28">
        <f>C132*12</f>
        <v>180000</v>
      </c>
      <c r="F132" s="28">
        <f>D132</f>
        <v>180000</v>
      </c>
      <c r="G132" s="28">
        <f t="shared" ref="G132:G151" si="52">MAX(MIN($D132-$F$16,$G$16),0)</f>
        <v>9111</v>
      </c>
      <c r="H132" s="28">
        <f t="shared" ref="H132:H151" si="53">MAX($D132-$H$16,0)</f>
        <v>161742</v>
      </c>
      <c r="K132" s="72"/>
    </row>
    <row r="133" spans="1:15" s="1" customFormat="1" x14ac:dyDescent="0.2">
      <c r="A133" s="16"/>
      <c r="B133" s="14" t="s">
        <v>36</v>
      </c>
      <c r="C133" s="6">
        <v>14000</v>
      </c>
      <c r="D133" s="28">
        <f t="shared" ref="D133:D136" si="54">C133*12</f>
        <v>168000</v>
      </c>
      <c r="F133" s="28">
        <f t="shared" ref="F133:F135" si="55">D133</f>
        <v>168000</v>
      </c>
      <c r="G133" s="28">
        <f t="shared" si="52"/>
        <v>9111</v>
      </c>
      <c r="H133" s="28">
        <f t="shared" si="53"/>
        <v>149742</v>
      </c>
      <c r="K133" s="228"/>
    </row>
    <row r="134" spans="1:15" x14ac:dyDescent="0.2">
      <c r="A134" s="71"/>
      <c r="B134" s="14" t="s">
        <v>37</v>
      </c>
      <c r="C134" s="6">
        <v>13000</v>
      </c>
      <c r="D134" s="28">
        <f>C134*12</f>
        <v>156000</v>
      </c>
      <c r="F134" s="28">
        <f t="shared" si="55"/>
        <v>156000</v>
      </c>
      <c r="G134" s="28">
        <f t="shared" si="52"/>
        <v>9111</v>
      </c>
      <c r="H134" s="28">
        <f t="shared" si="53"/>
        <v>137742</v>
      </c>
      <c r="K134" s="72"/>
    </row>
    <row r="135" spans="1:15" x14ac:dyDescent="0.2">
      <c r="A135" s="71"/>
      <c r="B135" s="14" t="s">
        <v>38</v>
      </c>
      <c r="C135" s="6">
        <v>12000</v>
      </c>
      <c r="D135" s="28">
        <f t="shared" si="54"/>
        <v>144000</v>
      </c>
      <c r="F135" s="28">
        <f t="shared" si="55"/>
        <v>144000</v>
      </c>
      <c r="G135" s="28">
        <f t="shared" si="52"/>
        <v>9111</v>
      </c>
      <c r="H135" s="28">
        <f t="shared" si="53"/>
        <v>125742</v>
      </c>
      <c r="K135" s="72"/>
    </row>
    <row r="136" spans="1:15" x14ac:dyDescent="0.2">
      <c r="A136" s="71"/>
      <c r="B136" s="14" t="s">
        <v>39</v>
      </c>
      <c r="C136" s="6">
        <v>11000</v>
      </c>
      <c r="D136" s="28">
        <f t="shared" si="54"/>
        <v>132000</v>
      </c>
      <c r="F136" s="28">
        <f>D136</f>
        <v>132000</v>
      </c>
      <c r="G136" s="28">
        <f t="shared" si="52"/>
        <v>9111</v>
      </c>
      <c r="H136" s="28">
        <f t="shared" si="53"/>
        <v>113742</v>
      </c>
      <c r="K136" s="72"/>
    </row>
    <row r="137" spans="1:15" x14ac:dyDescent="0.2">
      <c r="A137" s="71"/>
      <c r="B137" s="14" t="s">
        <v>527</v>
      </c>
      <c r="C137" s="6">
        <v>10000</v>
      </c>
      <c r="D137" s="28">
        <f>C137*12</f>
        <v>120000</v>
      </c>
      <c r="F137" s="28">
        <f>D137</f>
        <v>120000</v>
      </c>
      <c r="G137" s="28">
        <f t="shared" si="52"/>
        <v>9111</v>
      </c>
      <c r="H137" s="28">
        <f t="shared" si="53"/>
        <v>101742</v>
      </c>
      <c r="K137" s="72"/>
    </row>
    <row r="138" spans="1:15" x14ac:dyDescent="0.2">
      <c r="A138" s="71"/>
      <c r="B138" s="14" t="s">
        <v>528</v>
      </c>
      <c r="C138" s="6">
        <v>9000</v>
      </c>
      <c r="D138" s="28">
        <f t="shared" ref="D138" si="56">C138*12</f>
        <v>108000</v>
      </c>
      <c r="F138" s="28">
        <f t="shared" ref="F138:F140" si="57">D138</f>
        <v>108000</v>
      </c>
      <c r="G138" s="28">
        <f t="shared" si="52"/>
        <v>9111</v>
      </c>
      <c r="H138" s="28">
        <f t="shared" si="53"/>
        <v>89742</v>
      </c>
      <c r="K138" s="72"/>
    </row>
    <row r="139" spans="1:15" s="1" customFormat="1" x14ac:dyDescent="0.2">
      <c r="A139" s="16"/>
      <c r="B139" s="14" t="s">
        <v>529</v>
      </c>
      <c r="C139" s="6">
        <v>8000</v>
      </c>
      <c r="D139" s="28">
        <f>C139*12</f>
        <v>96000</v>
      </c>
      <c r="F139" s="28">
        <f t="shared" si="57"/>
        <v>96000</v>
      </c>
      <c r="G139" s="28">
        <f t="shared" si="52"/>
        <v>9111</v>
      </c>
      <c r="H139" s="28">
        <f t="shared" si="53"/>
        <v>77742</v>
      </c>
      <c r="K139" s="228"/>
    </row>
    <row r="140" spans="1:15" x14ac:dyDescent="0.2">
      <c r="A140" s="71"/>
      <c r="B140" s="14" t="s">
        <v>530</v>
      </c>
      <c r="C140" s="6">
        <v>7000</v>
      </c>
      <c r="D140" s="28">
        <f t="shared" ref="D140:D141" si="58">C140*12</f>
        <v>84000</v>
      </c>
      <c r="F140" s="28">
        <f t="shared" si="57"/>
        <v>84000</v>
      </c>
      <c r="G140" s="28">
        <f t="shared" si="52"/>
        <v>9111</v>
      </c>
      <c r="H140" s="28">
        <f t="shared" si="53"/>
        <v>65742</v>
      </c>
      <c r="K140" s="72"/>
    </row>
    <row r="141" spans="1:15" x14ac:dyDescent="0.2">
      <c r="A141" s="71"/>
      <c r="B141" s="14" t="s">
        <v>531</v>
      </c>
      <c r="C141" s="6">
        <v>6000</v>
      </c>
      <c r="D141" s="28">
        <f t="shared" si="58"/>
        <v>72000</v>
      </c>
      <c r="F141" s="28">
        <f>D141</f>
        <v>72000</v>
      </c>
      <c r="G141" s="28">
        <f t="shared" si="52"/>
        <v>9111</v>
      </c>
      <c r="H141" s="28">
        <f t="shared" si="53"/>
        <v>53742</v>
      </c>
      <c r="K141" s="72"/>
    </row>
    <row r="142" spans="1:15" x14ac:dyDescent="0.2">
      <c r="A142" s="71"/>
      <c r="B142" s="14" t="s">
        <v>532</v>
      </c>
      <c r="C142" s="6">
        <v>5000</v>
      </c>
      <c r="D142" s="28">
        <f>C142*12</f>
        <v>60000</v>
      </c>
      <c r="F142" s="28">
        <f>D142</f>
        <v>60000</v>
      </c>
      <c r="G142" s="28">
        <f t="shared" si="52"/>
        <v>9111</v>
      </c>
      <c r="H142" s="28">
        <f t="shared" si="53"/>
        <v>41742</v>
      </c>
      <c r="K142" s="72"/>
    </row>
    <row r="143" spans="1:15" x14ac:dyDescent="0.2">
      <c r="A143" s="71"/>
      <c r="B143" s="14" t="s">
        <v>533</v>
      </c>
      <c r="C143" s="6">
        <v>4000</v>
      </c>
      <c r="D143" s="28">
        <f t="shared" ref="D143" si="59">C143*12</f>
        <v>48000</v>
      </c>
      <c r="F143" s="28">
        <f t="shared" ref="F143:F145" si="60">D143</f>
        <v>48000</v>
      </c>
      <c r="G143" s="28">
        <f t="shared" si="52"/>
        <v>9111</v>
      </c>
      <c r="H143" s="28">
        <f t="shared" si="53"/>
        <v>29742</v>
      </c>
      <c r="K143" s="72"/>
    </row>
    <row r="144" spans="1:15" s="1" customFormat="1" x14ac:dyDescent="0.2">
      <c r="A144" s="16"/>
      <c r="B144" s="14" t="s">
        <v>534</v>
      </c>
      <c r="C144" s="6">
        <v>3000</v>
      </c>
      <c r="D144" s="28">
        <f>C144*12</f>
        <v>36000</v>
      </c>
      <c r="F144" s="28">
        <f t="shared" si="60"/>
        <v>36000</v>
      </c>
      <c r="G144" s="28">
        <f t="shared" si="52"/>
        <v>9111</v>
      </c>
      <c r="H144" s="28">
        <f t="shared" si="53"/>
        <v>17742</v>
      </c>
      <c r="K144" s="228"/>
    </row>
    <row r="145" spans="1:15" x14ac:dyDescent="0.2">
      <c r="A145" s="71"/>
      <c r="B145" s="14" t="s">
        <v>535</v>
      </c>
      <c r="C145" s="6">
        <v>2000</v>
      </c>
      <c r="D145" s="28">
        <f t="shared" ref="D145:D147" si="61">C145*12</f>
        <v>24000</v>
      </c>
      <c r="F145" s="28">
        <f t="shared" si="60"/>
        <v>24000</v>
      </c>
      <c r="G145" s="28">
        <f t="shared" si="52"/>
        <v>9111</v>
      </c>
      <c r="H145" s="28">
        <f t="shared" si="53"/>
        <v>5742</v>
      </c>
      <c r="K145" s="72"/>
    </row>
    <row r="146" spans="1:15" x14ac:dyDescent="0.2">
      <c r="A146" s="71"/>
      <c r="B146" s="14" t="s">
        <v>536</v>
      </c>
      <c r="C146" s="6">
        <v>1000</v>
      </c>
      <c r="D146" s="28">
        <f t="shared" si="61"/>
        <v>12000</v>
      </c>
      <c r="F146" s="28">
        <f>D146</f>
        <v>12000</v>
      </c>
      <c r="G146" s="28">
        <f t="shared" si="52"/>
        <v>2853</v>
      </c>
      <c r="H146" s="28">
        <f t="shared" si="53"/>
        <v>0</v>
      </c>
      <c r="K146" s="72"/>
    </row>
    <row r="147" spans="1:15" x14ac:dyDescent="0.2">
      <c r="A147" s="71"/>
      <c r="B147" s="14" t="s">
        <v>537</v>
      </c>
      <c r="C147" s="6">
        <v>5000</v>
      </c>
      <c r="D147" s="28">
        <f t="shared" si="61"/>
        <v>60000</v>
      </c>
      <c r="F147" s="28">
        <f>D147</f>
        <v>60000</v>
      </c>
      <c r="G147" s="28">
        <f t="shared" si="52"/>
        <v>9111</v>
      </c>
      <c r="H147" s="28">
        <f t="shared" si="53"/>
        <v>41742</v>
      </c>
      <c r="K147" s="72"/>
    </row>
    <row r="148" spans="1:15" x14ac:dyDescent="0.2">
      <c r="A148" s="71"/>
      <c r="B148" s="14" t="s">
        <v>538</v>
      </c>
      <c r="C148" s="6">
        <v>4000</v>
      </c>
      <c r="D148" s="28">
        <f>C148*12</f>
        <v>48000</v>
      </c>
      <c r="F148" s="28">
        <f>D148</f>
        <v>48000</v>
      </c>
      <c r="G148" s="28">
        <f t="shared" si="52"/>
        <v>9111</v>
      </c>
      <c r="H148" s="28">
        <f t="shared" si="53"/>
        <v>29742</v>
      </c>
      <c r="K148" s="72"/>
    </row>
    <row r="149" spans="1:15" x14ac:dyDescent="0.2">
      <c r="A149" s="71"/>
      <c r="B149" s="14" t="s">
        <v>539</v>
      </c>
      <c r="C149" s="6">
        <v>3000</v>
      </c>
      <c r="D149" s="28">
        <f t="shared" ref="D149" si="62">C149*12</f>
        <v>36000</v>
      </c>
      <c r="F149" s="28">
        <f t="shared" ref="F149:F151" si="63">D149</f>
        <v>36000</v>
      </c>
      <c r="G149" s="28">
        <f t="shared" si="52"/>
        <v>9111</v>
      </c>
      <c r="H149" s="28">
        <f t="shared" si="53"/>
        <v>17742</v>
      </c>
      <c r="K149" s="72"/>
    </row>
    <row r="150" spans="1:15" s="1" customFormat="1" x14ac:dyDescent="0.2">
      <c r="A150" s="16"/>
      <c r="B150" s="14" t="s">
        <v>540</v>
      </c>
      <c r="C150" s="6">
        <v>2000</v>
      </c>
      <c r="D150" s="28">
        <f>C150*12</f>
        <v>24000</v>
      </c>
      <c r="F150" s="28">
        <f t="shared" si="63"/>
        <v>24000</v>
      </c>
      <c r="G150" s="28">
        <f t="shared" si="52"/>
        <v>9111</v>
      </c>
      <c r="H150" s="28">
        <f t="shared" si="53"/>
        <v>5742</v>
      </c>
      <c r="K150" s="228"/>
    </row>
    <row r="151" spans="1:15" x14ac:dyDescent="0.2">
      <c r="A151" s="71"/>
      <c r="B151" s="14" t="s">
        <v>541</v>
      </c>
      <c r="C151" s="6">
        <v>1000</v>
      </c>
      <c r="D151" s="28">
        <f t="shared" ref="D151" si="64">C151*12</f>
        <v>12000</v>
      </c>
      <c r="F151" s="28">
        <f t="shared" si="63"/>
        <v>12000</v>
      </c>
      <c r="G151" s="28">
        <f t="shared" si="52"/>
        <v>2853</v>
      </c>
      <c r="H151" s="28">
        <f t="shared" si="53"/>
        <v>0</v>
      </c>
      <c r="K151" s="72"/>
    </row>
    <row r="152" spans="1:15" x14ac:dyDescent="0.2">
      <c r="A152" s="71"/>
      <c r="B152" s="29" t="s">
        <v>48</v>
      </c>
      <c r="C152" s="29">
        <f>SUM(C132:C151)</f>
        <v>135000</v>
      </c>
      <c r="D152" s="29">
        <f>SUM(D132:D151)</f>
        <v>1620000</v>
      </c>
      <c r="F152" s="29">
        <f>SUM(F132:F151)</f>
        <v>1620000</v>
      </c>
      <c r="G152" s="29">
        <f>SUM(G132:G151)</f>
        <v>169704</v>
      </c>
      <c r="H152" s="29">
        <f>SUM(H132:H151)</f>
        <v>1267356</v>
      </c>
      <c r="K152" s="72"/>
    </row>
    <row r="153" spans="1:15" ht="17" thickBot="1" x14ac:dyDescent="0.25">
      <c r="A153" s="78"/>
      <c r="B153" s="79"/>
      <c r="C153" s="79"/>
      <c r="D153" s="79"/>
      <c r="E153" s="79"/>
      <c r="F153" s="79"/>
      <c r="G153" s="79"/>
      <c r="H153" s="79"/>
      <c r="I153" s="79"/>
      <c r="J153" s="79"/>
      <c r="K153" s="80"/>
      <c r="M153" s="38"/>
    </row>
    <row r="154" spans="1:15" ht="17" thickBot="1" x14ac:dyDescent="0.25">
      <c r="A154" s="64"/>
      <c r="B154" s="65"/>
      <c r="C154" s="65"/>
      <c r="D154" s="65"/>
      <c r="E154" s="65"/>
      <c r="F154" s="65"/>
      <c r="G154" s="65"/>
      <c r="H154" s="65"/>
      <c r="I154" s="65"/>
      <c r="J154" s="65"/>
      <c r="K154" s="66"/>
      <c r="O154" s="26"/>
    </row>
    <row r="155" spans="1:15" ht="22" thickBot="1" x14ac:dyDescent="0.25">
      <c r="A155" s="71"/>
      <c r="B155" s="359" t="s">
        <v>58</v>
      </c>
      <c r="C155" s="360"/>
      <c r="D155" s="360"/>
      <c r="E155" s="360"/>
      <c r="F155" s="360"/>
      <c r="G155" s="360"/>
      <c r="H155" s="361"/>
      <c r="K155" s="72"/>
    </row>
    <row r="156" spans="1:15" x14ac:dyDescent="0.2">
      <c r="A156" s="71"/>
      <c r="K156" s="72"/>
    </row>
    <row r="157" spans="1:15" x14ac:dyDescent="0.2">
      <c r="A157" s="71"/>
      <c r="K157" s="72"/>
      <c r="M157" s="38"/>
    </row>
    <row r="158" spans="1:15" ht="17" thickBot="1" x14ac:dyDescent="0.25">
      <c r="A158" s="71"/>
      <c r="B158" s="10" t="s">
        <v>23</v>
      </c>
      <c r="K158" s="72"/>
      <c r="M158" s="38"/>
    </row>
    <row r="159" spans="1:15" ht="17" thickBot="1" x14ac:dyDescent="0.25">
      <c r="A159" s="71"/>
      <c r="C159" s="39" t="s">
        <v>0</v>
      </c>
      <c r="D159" s="39" t="s">
        <v>1</v>
      </c>
      <c r="E159" s="39" t="s">
        <v>2</v>
      </c>
      <c r="F159" s="39" t="s">
        <v>3</v>
      </c>
      <c r="G159" s="39" t="s">
        <v>4</v>
      </c>
      <c r="H159" s="40" t="s">
        <v>5</v>
      </c>
      <c r="I159" s="1"/>
      <c r="K159" s="72"/>
    </row>
    <row r="160" spans="1:15" x14ac:dyDescent="0.2">
      <c r="A160" s="71"/>
      <c r="B160" s="42" t="s">
        <v>56</v>
      </c>
      <c r="C160" s="264">
        <f>F48</f>
        <v>2520000</v>
      </c>
      <c r="D160" s="265">
        <f>F74</f>
        <v>1620000</v>
      </c>
      <c r="E160" s="265">
        <f>F100</f>
        <v>1620000</v>
      </c>
      <c r="F160" s="265">
        <f>F126</f>
        <v>1620000</v>
      </c>
      <c r="G160" s="265">
        <f>F152</f>
        <v>1620000</v>
      </c>
      <c r="H160" s="41">
        <f>SUM(C160:G160)</f>
        <v>9000000</v>
      </c>
      <c r="I160" s="1"/>
      <c r="K160" s="72"/>
    </row>
    <row r="161" spans="1:11" x14ac:dyDescent="0.2">
      <c r="A161" s="71"/>
      <c r="B161" s="43" t="s">
        <v>53</v>
      </c>
      <c r="C161" s="266">
        <f>G48</f>
        <v>175962</v>
      </c>
      <c r="D161" s="267">
        <f>G74</f>
        <v>169704</v>
      </c>
      <c r="E161" s="267">
        <f>G100</f>
        <v>169704</v>
      </c>
      <c r="F161" s="267">
        <f>G126</f>
        <v>169704</v>
      </c>
      <c r="G161" s="267">
        <f>G152</f>
        <v>169704</v>
      </c>
      <c r="H161" s="34">
        <f t="shared" ref="H161:H162" si="65">SUM(C161:G161)</f>
        <v>854778</v>
      </c>
      <c r="I161" s="1"/>
      <c r="K161" s="72"/>
    </row>
    <row r="162" spans="1:11" ht="17" thickBot="1" x14ac:dyDescent="0.25">
      <c r="A162" s="71"/>
      <c r="B162" s="44" t="s">
        <v>78</v>
      </c>
      <c r="C162" s="268">
        <f>H48</f>
        <v>2161098</v>
      </c>
      <c r="D162" s="269">
        <f>H74</f>
        <v>1267356</v>
      </c>
      <c r="E162" s="269">
        <f>H100</f>
        <v>1267356</v>
      </c>
      <c r="F162" s="269">
        <f>H126</f>
        <v>1267356</v>
      </c>
      <c r="G162" s="269">
        <f>H152</f>
        <v>1267356</v>
      </c>
      <c r="H162" s="35">
        <f t="shared" si="65"/>
        <v>7230522</v>
      </c>
      <c r="I162" s="1"/>
      <c r="J162" s="1"/>
      <c r="K162" s="72"/>
    </row>
    <row r="163" spans="1:11" ht="17" thickBot="1" x14ac:dyDescent="0.25">
      <c r="A163" s="71"/>
      <c r="B163" s="62" t="s">
        <v>8</v>
      </c>
      <c r="C163" s="19">
        <f>C160</f>
        <v>2520000</v>
      </c>
      <c r="D163" s="33">
        <f t="shared" ref="D163" si="66">D160</f>
        <v>1620000</v>
      </c>
      <c r="E163" s="33">
        <f>E160</f>
        <v>1620000</v>
      </c>
      <c r="F163" s="33">
        <f>F160</f>
        <v>1620000</v>
      </c>
      <c r="G163" s="33">
        <f>G160</f>
        <v>1620000</v>
      </c>
      <c r="H163" s="33">
        <f>SUM(C163:G163)</f>
        <v>9000000</v>
      </c>
      <c r="K163" s="72"/>
    </row>
    <row r="164" spans="1:11" s="1" customFormat="1" x14ac:dyDescent="0.2">
      <c r="A164" s="16"/>
      <c r="B164" s="45" t="str">
        <f>"TS taux normal ("&amp;TEXT(C20,"0,00%")&amp;")"</f>
        <v>TS taux normal (4,25%)</v>
      </c>
      <c r="C164" s="183">
        <f>ROUND(C160*$C$20,0)</f>
        <v>107100</v>
      </c>
      <c r="D164" s="184">
        <f t="shared" ref="D164:G164" si="67">ROUND(D160*$C$20,0)</f>
        <v>68850</v>
      </c>
      <c r="E164" s="184">
        <f t="shared" si="67"/>
        <v>68850</v>
      </c>
      <c r="F164" s="184">
        <f t="shared" si="67"/>
        <v>68850</v>
      </c>
      <c r="G164" s="184">
        <f t="shared" si="67"/>
        <v>68850</v>
      </c>
      <c r="H164" s="20">
        <f>SUM(C164:G164)</f>
        <v>382500</v>
      </c>
      <c r="K164" s="228"/>
    </row>
    <row r="165" spans="1:11" s="1" customFormat="1" x14ac:dyDescent="0.2">
      <c r="A165" s="16"/>
      <c r="B165" s="43" t="str">
        <f>"TS 1er taux majoré ("&amp;TEXT(C21,"0,00%")&amp;")"</f>
        <v>TS 1er taux majoré (4,25%)</v>
      </c>
      <c r="C165" s="183">
        <f>ROUND(C161*$C$21,0)</f>
        <v>7478</v>
      </c>
      <c r="D165" s="184">
        <f t="shared" ref="D165:G165" si="68">ROUND(D161*$C$21,0)</f>
        <v>7212</v>
      </c>
      <c r="E165" s="184">
        <f t="shared" si="68"/>
        <v>7212</v>
      </c>
      <c r="F165" s="184">
        <f t="shared" si="68"/>
        <v>7212</v>
      </c>
      <c r="G165" s="184">
        <f t="shared" si="68"/>
        <v>7212</v>
      </c>
      <c r="H165" s="20">
        <f>SUM(C165:G165)</f>
        <v>36326</v>
      </c>
      <c r="K165" s="228"/>
    </row>
    <row r="166" spans="1:11" s="1" customFormat="1" ht="17" thickBot="1" x14ac:dyDescent="0.25">
      <c r="A166" s="16"/>
      <c r="B166" s="44" t="str">
        <f>"TS 2nd taux majoré ("&amp;TEXT(C22,"0,00%")&amp;")"</f>
        <v>TS 2nd taux majoré (9,35%)</v>
      </c>
      <c r="C166" s="183">
        <f>ROUND(C162*$C$22,0)</f>
        <v>202063</v>
      </c>
      <c r="D166" s="184">
        <f t="shared" ref="D166:G166" si="69">ROUND(D162*$C$22,0)</f>
        <v>118498</v>
      </c>
      <c r="E166" s="184">
        <f t="shared" si="69"/>
        <v>118498</v>
      </c>
      <c r="F166" s="184">
        <f t="shared" si="69"/>
        <v>118498</v>
      </c>
      <c r="G166" s="184">
        <f t="shared" si="69"/>
        <v>118498</v>
      </c>
      <c r="H166" s="20">
        <f>SUM(C166:G166)</f>
        <v>676055</v>
      </c>
      <c r="K166" s="228"/>
    </row>
    <row r="167" spans="1:11" s="1" customFormat="1" ht="17" thickBot="1" x14ac:dyDescent="0.25">
      <c r="A167" s="16"/>
      <c r="B167" s="62" t="s">
        <v>19</v>
      </c>
      <c r="C167" s="19">
        <f>SUM(C164:C166)</f>
        <v>316641</v>
      </c>
      <c r="D167" s="33">
        <f>SUM(D164:D166)</f>
        <v>194560</v>
      </c>
      <c r="E167" s="33">
        <f>SUM(E164:E166)</f>
        <v>194560</v>
      </c>
      <c r="F167" s="33">
        <f>SUM(F164:F166)</f>
        <v>194560</v>
      </c>
      <c r="G167" s="33">
        <f>SUM(G164:G166)</f>
        <v>194560</v>
      </c>
      <c r="H167" s="19">
        <f>SUM(C167:G167)</f>
        <v>1094881</v>
      </c>
      <c r="K167" s="228"/>
    </row>
    <row r="168" spans="1:11" x14ac:dyDescent="0.2">
      <c r="A168" s="71"/>
      <c r="K168" s="72"/>
    </row>
    <row r="169" spans="1:11" x14ac:dyDescent="0.2">
      <c r="A169" s="71"/>
      <c r="K169" s="72"/>
    </row>
    <row r="170" spans="1:11" s="1" customFormat="1" ht="17" thickBot="1" x14ac:dyDescent="0.25">
      <c r="A170" s="16"/>
      <c r="B170" s="229" t="s">
        <v>79</v>
      </c>
      <c r="K170" s="230"/>
    </row>
    <row r="171" spans="1:11" s="1" customFormat="1" x14ac:dyDescent="0.2">
      <c r="A171" s="16"/>
      <c r="B171" s="15" t="s">
        <v>82</v>
      </c>
      <c r="C171" s="17">
        <f>'Impact TVA'!E139</f>
        <v>0.96</v>
      </c>
      <c r="D171" s="17">
        <f>'Impact TVA'!F139</f>
        <v>0</v>
      </c>
      <c r="E171" s="17">
        <f>'Impact TVA'!G139</f>
        <v>0.92</v>
      </c>
      <c r="F171" s="17">
        <f>'Impact TVA'!H139</f>
        <v>1</v>
      </c>
      <c r="G171" s="17">
        <f>'Impact TVA'!I139</f>
        <v>0</v>
      </c>
      <c r="H171" s="21"/>
      <c r="I171" s="1" t="s">
        <v>77</v>
      </c>
      <c r="K171" s="228"/>
    </row>
    <row r="172" spans="1:11" s="1" customFormat="1" x14ac:dyDescent="0.2">
      <c r="A172" s="16"/>
      <c r="B172" s="16" t="s">
        <v>9</v>
      </c>
      <c r="C172" s="5">
        <f>ROUNDDOWN(IF(C171&lt;10%,0,IF(C167*C171&lt;1200,0,C167*C171)),0)</f>
        <v>303975</v>
      </c>
      <c r="D172" s="5">
        <f>ROUNDDOWN(IF(D171&lt;10%,0,IF(D167*D171&lt;1200,0,D167*D171)),0)</f>
        <v>0</v>
      </c>
      <c r="E172" s="5">
        <f>ROUNDDOWN(IF(E171&lt;10%,0,IF(E167*E171&lt;1200,0,E167*E171)),0)</f>
        <v>178995</v>
      </c>
      <c r="F172" s="5">
        <f>ROUNDDOWN(IF(F171&lt;10%,0,IF(F167*F171&lt;1200,0,F167*F171)),0)</f>
        <v>194560</v>
      </c>
      <c r="G172" s="5">
        <f>ROUNDDOWN(IF(G171&lt;10%,0,IF(G167*G171&lt;1200,0,G167*G171)),0)</f>
        <v>0</v>
      </c>
      <c r="H172" s="22"/>
      <c r="K172" s="228"/>
    </row>
    <row r="173" spans="1:11" s="1" customFormat="1" x14ac:dyDescent="0.2">
      <c r="A173" s="16"/>
      <c r="B173" s="16" t="s">
        <v>10</v>
      </c>
      <c r="C173" s="5">
        <f>IF(1200&lt;C172&lt;2040,0.75*(2040-C172),0)</f>
        <v>0</v>
      </c>
      <c r="D173" s="5">
        <f>IF(1200&lt;D172&lt;2040,0.75*(2040-D172),0)</f>
        <v>0</v>
      </c>
      <c r="E173" s="5">
        <f>IF(1200&lt;E172&lt;2040,0.75*(2040-E172),0)</f>
        <v>0</v>
      </c>
      <c r="F173" s="5">
        <f>IF(1200&lt;F172&lt;2040,0.75*(2040-F172),0)</f>
        <v>0</v>
      </c>
      <c r="G173" s="5">
        <f>IF(1200&lt;G172&lt;2040,0.75*(2040-G172),0)</f>
        <v>0</v>
      </c>
      <c r="H173" s="22"/>
      <c r="J173" s="231" t="s">
        <v>34</v>
      </c>
      <c r="K173" s="228"/>
    </row>
    <row r="174" spans="1:11" s="1" customFormat="1" ht="17" thickBot="1" x14ac:dyDescent="0.25">
      <c r="A174" s="16"/>
      <c r="B174" s="16" t="s">
        <v>17</v>
      </c>
      <c r="C174" s="18">
        <v>0</v>
      </c>
      <c r="D174" s="18">
        <v>0</v>
      </c>
      <c r="E174" s="18">
        <v>0</v>
      </c>
      <c r="F174" s="18">
        <v>0</v>
      </c>
      <c r="G174" s="18">
        <v>0</v>
      </c>
      <c r="H174" s="22"/>
      <c r="K174" s="228"/>
    </row>
    <row r="175" spans="1:11" s="1" customFormat="1" ht="17" thickBot="1" x14ac:dyDescent="0.25">
      <c r="A175" s="16"/>
      <c r="B175" s="54" t="s">
        <v>79</v>
      </c>
      <c r="C175" s="62">
        <f>ROUNDDOWN(C172-C173-C174,0)</f>
        <v>303975</v>
      </c>
      <c r="D175" s="62">
        <f t="shared" ref="D175:G175" si="70">ROUNDDOWN(D172-D173-D174,0)</f>
        <v>0</v>
      </c>
      <c r="E175" s="62">
        <f t="shared" si="70"/>
        <v>178995</v>
      </c>
      <c r="F175" s="62">
        <f t="shared" si="70"/>
        <v>194560</v>
      </c>
      <c r="G175" s="62">
        <f t="shared" si="70"/>
        <v>0</v>
      </c>
      <c r="H175" s="23">
        <f>SUM(C175:G175)</f>
        <v>677530</v>
      </c>
      <c r="K175" s="228"/>
    </row>
    <row r="176" spans="1:11" x14ac:dyDescent="0.2">
      <c r="A176" s="71"/>
      <c r="K176" s="72"/>
    </row>
    <row r="177" spans="1:11" s="1" customFormat="1" ht="17" thickBot="1" x14ac:dyDescent="0.25">
      <c r="A177" s="16"/>
      <c r="B177" s="229" t="s">
        <v>483</v>
      </c>
      <c r="K177" s="230"/>
    </row>
    <row r="178" spans="1:11" s="1" customFormat="1" x14ac:dyDescent="0.2">
      <c r="A178" s="16"/>
      <c r="B178" s="15" t="s">
        <v>81</v>
      </c>
      <c r="C178" s="17">
        <f>'Impact TVA'!E140</f>
        <v>1</v>
      </c>
      <c r="D178" s="17">
        <f>'Impact TVA'!F140</f>
        <v>1</v>
      </c>
      <c r="E178" s="17">
        <f>'Impact TVA'!G140</f>
        <v>0.92</v>
      </c>
      <c r="F178" s="17">
        <f>'Impact TVA'!H140</f>
        <v>1</v>
      </c>
      <c r="G178" s="17">
        <f>'Impact TVA'!I140</f>
        <v>0</v>
      </c>
      <c r="H178" s="24"/>
      <c r="I178" s="1" t="s">
        <v>77</v>
      </c>
      <c r="K178" s="228"/>
    </row>
    <row r="179" spans="1:11" s="1" customFormat="1" x14ac:dyDescent="0.2">
      <c r="A179" s="16"/>
      <c r="B179" s="16" t="s">
        <v>9</v>
      </c>
      <c r="C179" s="5">
        <f>ROUNDDOWN(IF(C178&lt;10%,0,IF(C167*C178&lt;1200,0,C167*C178)),0)</f>
        <v>316641</v>
      </c>
      <c r="D179" s="5">
        <f t="shared" ref="D179:G179" si="71">ROUNDDOWN(IF(D178&lt;10%,0,IF(D167*D178&lt;1200,0,D167*D178)),0)</f>
        <v>194560</v>
      </c>
      <c r="E179" s="5">
        <f t="shared" si="71"/>
        <v>178995</v>
      </c>
      <c r="F179" s="5">
        <f t="shared" si="71"/>
        <v>194560</v>
      </c>
      <c r="G179" s="5">
        <f t="shared" si="71"/>
        <v>0</v>
      </c>
      <c r="H179" s="22"/>
      <c r="J179" s="232"/>
      <c r="K179" s="228"/>
    </row>
    <row r="180" spans="1:11" s="1" customFormat="1" x14ac:dyDescent="0.2">
      <c r="A180" s="16"/>
      <c r="B180" s="16" t="s">
        <v>10</v>
      </c>
      <c r="C180" s="5">
        <f>IF(1200&lt;C179&lt;2040,0.75*(2040-C179),0)</f>
        <v>0</v>
      </c>
      <c r="D180" s="5">
        <f>IF(1200&lt;D179&lt;2040,0.75*(2040-D179),0)</f>
        <v>0</v>
      </c>
      <c r="E180" s="5">
        <f>IF(1200&lt;E179&lt;2040,0.75*(2040-E179),0)</f>
        <v>0</v>
      </c>
      <c r="F180" s="5">
        <f>IF(1200&lt;F179&lt;2040,0.75*(2040-F179),0)</f>
        <v>0</v>
      </c>
      <c r="G180" s="5">
        <f>IF(1200&lt;G179&lt;2040,0.75*(2040-G179),0)</f>
        <v>0</v>
      </c>
      <c r="H180" s="22"/>
      <c r="J180" s="229"/>
      <c r="K180" s="228"/>
    </row>
    <row r="181" spans="1:11" s="1" customFormat="1" ht="17" thickBot="1" x14ac:dyDescent="0.25">
      <c r="A181" s="16"/>
      <c r="B181" s="16" t="s">
        <v>17</v>
      </c>
      <c r="C181" s="18">
        <v>0</v>
      </c>
      <c r="D181" s="18">
        <v>0</v>
      </c>
      <c r="E181" s="18">
        <v>0</v>
      </c>
      <c r="F181" s="18">
        <v>0</v>
      </c>
      <c r="G181" s="18">
        <v>0</v>
      </c>
      <c r="H181" s="22"/>
      <c r="K181" s="228"/>
    </row>
    <row r="182" spans="1:11" s="1" customFormat="1" ht="17" thickBot="1" x14ac:dyDescent="0.25">
      <c r="A182" s="16"/>
      <c r="B182" s="54" t="s">
        <v>80</v>
      </c>
      <c r="C182" s="62">
        <f>ROUNDDOWN(C179-C180-C181,0)</f>
        <v>316641</v>
      </c>
      <c r="D182" s="62">
        <f t="shared" ref="D182:G182" si="72">ROUNDDOWN(D179-D180-D181,0)</f>
        <v>194560</v>
      </c>
      <c r="E182" s="62">
        <f t="shared" si="72"/>
        <v>178995</v>
      </c>
      <c r="F182" s="62">
        <f t="shared" si="72"/>
        <v>194560</v>
      </c>
      <c r="G182" s="62">
        <f t="shared" si="72"/>
        <v>0</v>
      </c>
      <c r="H182" s="62">
        <f>SUM(C182:G182)</f>
        <v>884756</v>
      </c>
      <c r="K182" s="228"/>
    </row>
    <row r="183" spans="1:11" s="1" customFormat="1" x14ac:dyDescent="0.2">
      <c r="A183" s="16"/>
      <c r="H183" s="229"/>
      <c r="K183" s="228"/>
    </row>
    <row r="184" spans="1:11" s="1" customFormat="1" ht="17" thickBot="1" x14ac:dyDescent="0.25">
      <c r="A184" s="16"/>
      <c r="H184" s="229"/>
      <c r="K184" s="228"/>
    </row>
    <row r="185" spans="1:11" s="1" customFormat="1" ht="17" thickBot="1" x14ac:dyDescent="0.25">
      <c r="A185" s="16"/>
      <c r="B185" s="60" t="s">
        <v>522</v>
      </c>
      <c r="C185" s="61">
        <f>C175-C182</f>
        <v>-12666</v>
      </c>
      <c r="D185" s="61">
        <f t="shared" ref="D185:G185" si="73">D175-D182</f>
        <v>-194560</v>
      </c>
      <c r="E185" s="61">
        <f t="shared" si="73"/>
        <v>0</v>
      </c>
      <c r="F185" s="61">
        <f t="shared" si="73"/>
        <v>0</v>
      </c>
      <c r="G185" s="61">
        <f t="shared" si="73"/>
        <v>0</v>
      </c>
      <c r="H185" s="25">
        <f>SUM(C185:G185)</f>
        <v>-207226</v>
      </c>
      <c r="K185" s="228"/>
    </row>
    <row r="186" spans="1:11" x14ac:dyDescent="0.2">
      <c r="A186" s="71"/>
      <c r="K186" s="72"/>
    </row>
    <row r="187" spans="1:11" s="1" customFormat="1" ht="17" thickBot="1" x14ac:dyDescent="0.25">
      <c r="A187" s="16"/>
      <c r="B187" s="229" t="s">
        <v>482</v>
      </c>
      <c r="K187" s="230"/>
    </row>
    <row r="188" spans="1:11" s="1" customFormat="1" x14ac:dyDescent="0.2">
      <c r="A188" s="16"/>
      <c r="B188" s="15" t="s">
        <v>81</v>
      </c>
      <c r="C188" s="17">
        <f>'Impact TVA'!E140</f>
        <v>1</v>
      </c>
      <c r="D188" s="17">
        <f>'Impact TVA'!F140</f>
        <v>1</v>
      </c>
      <c r="E188" s="17">
        <f>'Impact TVA'!G140</f>
        <v>0.92</v>
      </c>
      <c r="F188" s="17">
        <f>'Impact TVA'!H140</f>
        <v>1</v>
      </c>
      <c r="G188" s="17">
        <f>'Impact TVA'!I140</f>
        <v>0</v>
      </c>
      <c r="H188" s="24"/>
      <c r="I188" s="1" t="s">
        <v>77</v>
      </c>
      <c r="K188" s="228"/>
    </row>
    <row r="189" spans="1:11" s="1" customFormat="1" x14ac:dyDescent="0.2">
      <c r="A189" s="16"/>
      <c r="B189" s="16" t="s">
        <v>9</v>
      </c>
      <c r="C189" s="5">
        <f>ROUNDDOWN(IF(AND(('Impact TVA'!$I$31/'Impact TVA'!$J$34)&gt;=90%,C175=0),0,IF(C167*C188&lt;1200,0,C167*C188)),0)</f>
        <v>316641</v>
      </c>
      <c r="D189" s="5">
        <f>ROUNDDOWN(IF(AND(('Impact TVA'!$I$31/'Impact TVA'!$J$34)&gt;=90%,D175=0),0,IF(D167*D188&lt;1200,0,D167*D188)),0)</f>
        <v>0</v>
      </c>
      <c r="E189" s="5">
        <f>ROUNDDOWN(IF(AND(('Impact TVA'!$I$31/'Impact TVA'!$J$34)&gt;=90%,E175=0),0,IF(E167*E188&lt;1200,0,E167*E188)),0)</f>
        <v>178995</v>
      </c>
      <c r="F189" s="5">
        <f>ROUNDDOWN(IF(AND(('Impact TVA'!$I$31/'Impact TVA'!$J$34)&gt;=90%,F175=0),0,IF(F167*F188&lt;1200,0,F167*F188)),0)</f>
        <v>194560</v>
      </c>
      <c r="G189" s="5">
        <f>ROUNDDOWN(IF(AND(('Impact TVA'!$I$31/'Impact TVA'!$J$34)&gt;=90%,G175=0),0,IF(G167*G188&lt;1200,0,G167*G188)),0)</f>
        <v>0</v>
      </c>
      <c r="H189" s="22"/>
      <c r="J189" s="232"/>
      <c r="K189" s="228"/>
    </row>
    <row r="190" spans="1:11" s="1" customFormat="1" x14ac:dyDescent="0.2">
      <c r="A190" s="16"/>
      <c r="B190" s="16" t="s">
        <v>10</v>
      </c>
      <c r="C190" s="5">
        <f>IF(1200&lt;C189&lt;2040,0.75*(2040-C189),0)</f>
        <v>0</v>
      </c>
      <c r="D190" s="5">
        <f>IF(1200&lt;D189&lt;2040,0.75*(2040-D189),0)</f>
        <v>0</v>
      </c>
      <c r="E190" s="5">
        <f>IF(1200&lt;E189&lt;2040,0.75*(2040-E189),0)</f>
        <v>0</v>
      </c>
      <c r="F190" s="5">
        <f>IF(1200&lt;F189&lt;2040,0.75*(2040-F189),0)</f>
        <v>0</v>
      </c>
      <c r="G190" s="5">
        <f>IF(1200&lt;G189&lt;2040,0.75*(2040-G189),0)</f>
        <v>0</v>
      </c>
      <c r="H190" s="22"/>
      <c r="J190" s="229"/>
      <c r="K190" s="228"/>
    </row>
    <row r="191" spans="1:11" s="1" customFormat="1" ht="17" thickBot="1" x14ac:dyDescent="0.25">
      <c r="A191" s="16"/>
      <c r="B191" s="16" t="s">
        <v>17</v>
      </c>
      <c r="C191" s="18">
        <v>0</v>
      </c>
      <c r="D191" s="18">
        <v>0</v>
      </c>
      <c r="E191" s="18">
        <v>0</v>
      </c>
      <c r="F191" s="18">
        <v>0</v>
      </c>
      <c r="G191" s="18">
        <v>0</v>
      </c>
      <c r="H191" s="22"/>
      <c r="K191" s="228"/>
    </row>
    <row r="192" spans="1:11" s="1" customFormat="1" ht="17" thickBot="1" x14ac:dyDescent="0.25">
      <c r="A192" s="16"/>
      <c r="B192" s="54" t="s">
        <v>80</v>
      </c>
      <c r="C192" s="62">
        <f>ROUNDDOWN(C189-C190-C191,0)</f>
        <v>316641</v>
      </c>
      <c r="D192" s="62">
        <f t="shared" ref="D192:G192" si="74">ROUNDDOWN(D189-D190-D191,0)</f>
        <v>0</v>
      </c>
      <c r="E192" s="62">
        <f t="shared" si="74"/>
        <v>178995</v>
      </c>
      <c r="F192" s="62">
        <f t="shared" si="74"/>
        <v>194560</v>
      </c>
      <c r="G192" s="62">
        <f t="shared" si="74"/>
        <v>0</v>
      </c>
      <c r="H192" s="62">
        <f>SUM(C192:G192)</f>
        <v>690196</v>
      </c>
      <c r="K192" s="228"/>
    </row>
    <row r="193" spans="1:11" s="1" customFormat="1" ht="17" thickBot="1" x14ac:dyDescent="0.25">
      <c r="A193" s="16"/>
      <c r="H193" s="229"/>
      <c r="K193" s="228"/>
    </row>
    <row r="194" spans="1:11" s="1" customFormat="1" ht="17" thickBot="1" x14ac:dyDescent="0.25">
      <c r="A194" s="16"/>
      <c r="B194" s="60" t="s">
        <v>523</v>
      </c>
      <c r="C194" s="61">
        <f>C175-C192</f>
        <v>-12666</v>
      </c>
      <c r="D194" s="61">
        <f t="shared" ref="D194:G194" si="75">D175-D192</f>
        <v>0</v>
      </c>
      <c r="E194" s="61">
        <f>E175-E192</f>
        <v>0</v>
      </c>
      <c r="F194" s="61">
        <f t="shared" si="75"/>
        <v>0</v>
      </c>
      <c r="G194" s="61">
        <f t="shared" si="75"/>
        <v>0</v>
      </c>
      <c r="H194" s="25">
        <f>SUM(C194:G194)</f>
        <v>-12666</v>
      </c>
      <c r="K194" s="228"/>
    </row>
    <row r="195" spans="1:11" x14ac:dyDescent="0.2">
      <c r="A195" s="71"/>
      <c r="K195" s="72"/>
    </row>
    <row r="196" spans="1:11" x14ac:dyDescent="0.2">
      <c r="A196" s="71"/>
      <c r="B196" t="s">
        <v>431</v>
      </c>
      <c r="K196" s="72"/>
    </row>
    <row r="197" spans="1:11" x14ac:dyDescent="0.2">
      <c r="A197" s="71"/>
      <c r="K197" s="72"/>
    </row>
    <row r="198" spans="1:11" x14ac:dyDescent="0.2">
      <c r="A198" s="71"/>
      <c r="K198" s="72"/>
    </row>
    <row r="199" spans="1:11" x14ac:dyDescent="0.2">
      <c r="A199" s="71"/>
      <c r="K199" s="72"/>
    </row>
    <row r="200" spans="1:11" x14ac:dyDescent="0.2">
      <c r="A200" s="71"/>
      <c r="K200" s="72"/>
    </row>
    <row r="201" spans="1:11" x14ac:dyDescent="0.2">
      <c r="A201" s="71"/>
      <c r="K201" s="72"/>
    </row>
    <row r="202" spans="1:11" x14ac:dyDescent="0.2">
      <c r="A202" s="71"/>
      <c r="K202" s="72"/>
    </row>
    <row r="203" spans="1:11" x14ac:dyDescent="0.2">
      <c r="A203" s="71"/>
      <c r="K203" s="72"/>
    </row>
    <row r="204" spans="1:11" x14ac:dyDescent="0.2">
      <c r="A204" s="71"/>
      <c r="K204" s="72"/>
    </row>
    <row r="205" spans="1:11" x14ac:dyDescent="0.2">
      <c r="A205" s="71"/>
      <c r="K205" s="72"/>
    </row>
    <row r="206" spans="1:11" x14ac:dyDescent="0.2">
      <c r="A206" s="71"/>
      <c r="K206" s="72"/>
    </row>
    <row r="207" spans="1:11" x14ac:dyDescent="0.2">
      <c r="A207" s="71"/>
      <c r="K207" s="72"/>
    </row>
    <row r="208" spans="1:11" x14ac:dyDescent="0.2">
      <c r="A208" s="71"/>
      <c r="K208" s="72"/>
    </row>
    <row r="209" spans="1:11" x14ac:dyDescent="0.2">
      <c r="A209" s="71"/>
      <c r="K209" s="72"/>
    </row>
    <row r="210" spans="1:11" x14ac:dyDescent="0.2">
      <c r="A210" s="71"/>
      <c r="K210" s="72"/>
    </row>
    <row r="211" spans="1:11" x14ac:dyDescent="0.2">
      <c r="A211" s="71"/>
      <c r="K211" s="72"/>
    </row>
    <row r="212" spans="1:11" x14ac:dyDescent="0.2">
      <c r="A212" s="71"/>
      <c r="K212" s="72"/>
    </row>
    <row r="213" spans="1:11" x14ac:dyDescent="0.2">
      <c r="A213" s="71"/>
      <c r="K213" s="72"/>
    </row>
    <row r="214" spans="1:11" x14ac:dyDescent="0.2">
      <c r="A214" s="71"/>
      <c r="K214" s="72"/>
    </row>
    <row r="215" spans="1:11" x14ac:dyDescent="0.2">
      <c r="A215" s="71"/>
      <c r="K215" s="72"/>
    </row>
    <row r="216" spans="1:11" x14ac:dyDescent="0.2">
      <c r="A216" s="71"/>
      <c r="K216" s="72"/>
    </row>
    <row r="217" spans="1:11" x14ac:dyDescent="0.2">
      <c r="A217" s="71"/>
      <c r="K217" s="72"/>
    </row>
    <row r="218" spans="1:11" x14ac:dyDescent="0.2">
      <c r="A218" s="71"/>
      <c r="K218" s="72"/>
    </row>
    <row r="219" spans="1:11" x14ac:dyDescent="0.2">
      <c r="A219" s="71"/>
      <c r="K219" s="72"/>
    </row>
    <row r="220" spans="1:11" x14ac:dyDescent="0.2">
      <c r="A220" s="71"/>
      <c r="K220" s="72"/>
    </row>
    <row r="221" spans="1:11" x14ac:dyDescent="0.2">
      <c r="A221" s="71"/>
      <c r="K221" s="72"/>
    </row>
    <row r="222" spans="1:11" x14ac:dyDescent="0.2">
      <c r="A222" s="71"/>
      <c r="K222" s="72"/>
    </row>
    <row r="223" spans="1:11" x14ac:dyDescent="0.2">
      <c r="A223" s="71"/>
      <c r="K223" s="72"/>
    </row>
    <row r="224" spans="1:11" x14ac:dyDescent="0.2">
      <c r="A224" s="71"/>
      <c r="K224" s="72"/>
    </row>
    <row r="225" spans="1:11" x14ac:dyDescent="0.2">
      <c r="A225" s="71"/>
      <c r="K225" s="72"/>
    </row>
    <row r="226" spans="1:11" x14ac:dyDescent="0.2">
      <c r="A226" s="71"/>
      <c r="K226" s="72"/>
    </row>
    <row r="227" spans="1:11" x14ac:dyDescent="0.2">
      <c r="A227" s="71"/>
      <c r="K227" s="72"/>
    </row>
    <row r="228" spans="1:11" ht="17" thickBot="1" x14ac:dyDescent="0.25">
      <c r="A228" s="78"/>
      <c r="B228" s="79"/>
      <c r="C228" s="79"/>
      <c r="D228" s="79"/>
      <c r="E228" s="79"/>
      <c r="F228" s="79"/>
      <c r="G228" s="79"/>
      <c r="H228" s="79"/>
      <c r="I228" s="79"/>
      <c r="J228" s="79"/>
      <c r="K228" s="80"/>
    </row>
  </sheetData>
  <mergeCells count="33">
    <mergeCell ref="B50:H50"/>
    <mergeCell ref="B76:H76"/>
    <mergeCell ref="B102:H102"/>
    <mergeCell ref="B128:H128"/>
    <mergeCell ref="B104:B105"/>
    <mergeCell ref="C104:C105"/>
    <mergeCell ref="C52:C53"/>
    <mergeCell ref="D52:D53"/>
    <mergeCell ref="F78:H78"/>
    <mergeCell ref="B78:B79"/>
    <mergeCell ref="C78:C79"/>
    <mergeCell ref="D78:D79"/>
    <mergeCell ref="F52:H52"/>
    <mergeCell ref="B52:B53"/>
    <mergeCell ref="D104:D105"/>
    <mergeCell ref="J26:K26"/>
    <mergeCell ref="B19:C19"/>
    <mergeCell ref="E19:H22"/>
    <mergeCell ref="B2:H4"/>
    <mergeCell ref="B6:H12"/>
    <mergeCell ref="C15:F15"/>
    <mergeCell ref="B24:H24"/>
    <mergeCell ref="C16:D16"/>
    <mergeCell ref="F26:H26"/>
    <mergeCell ref="B26:B27"/>
    <mergeCell ref="C26:C27"/>
    <mergeCell ref="D26:D27"/>
    <mergeCell ref="B130:B131"/>
    <mergeCell ref="C130:C131"/>
    <mergeCell ref="D130:D131"/>
    <mergeCell ref="B155:H155"/>
    <mergeCell ref="F104:H104"/>
    <mergeCell ref="F130:H130"/>
  </mergeCells>
  <phoneticPr fontId="19" type="noConversion"/>
  <conditionalFormatting sqref="C185:H185">
    <cfRule type="iconSet" priority="1">
      <iconSet iconSet="3Arrows">
        <cfvo type="percent" val="0"/>
        <cfvo type="num" val="0"/>
        <cfvo type="num" val="0" gte="0"/>
      </iconSet>
    </cfRule>
  </conditionalFormatting>
  <conditionalFormatting sqref="C194:H194">
    <cfRule type="iconSet" priority="2">
      <iconSet iconSet="3Arrows">
        <cfvo type="percent" val="0"/>
        <cfvo type="num" val="0"/>
        <cfvo type="num" val="0" gte="0"/>
      </iconSet>
    </cfRule>
  </conditionalFormatting>
  <pageMargins left="0.7" right="0.7" top="0.75" bottom="0.75" header="0.3" footer="0.3"/>
  <pageSetup paperSize="9" scale="35" orientation="portrait" horizontalDpi="0" verticalDpi="0"/>
  <headerFooter scaleWithDoc="0">
    <oddHeader>&amp;L&amp;"Calibri,Normal"&amp;K000000&amp;F&amp;C&amp;"Calibri,Normal"&amp;K000000                                                   &amp;A&amp;R&amp;"Calibri,Normal"&amp;K000000&amp;P sur &amp;N</oddHeader>
  </headerFooter>
  <rowBreaks count="2" manualBreakCount="2">
    <brk id="75" max="10" man="1"/>
    <brk id="153" max="10" man="1"/>
  </rowBreak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D27FA-45FD-7244-8413-D2B9EE04DF3D}">
  <dimension ref="A1:I36"/>
  <sheetViews>
    <sheetView view="pageBreakPreview" topLeftCell="A13" zoomScale="115" zoomScaleNormal="94" workbookViewId="0">
      <selection activeCell="B41" sqref="B41"/>
    </sheetView>
  </sheetViews>
  <sheetFormatPr baseColWidth="10" defaultRowHeight="16" x14ac:dyDescent="0.2"/>
  <cols>
    <col min="1" max="1" width="10.83203125" style="3"/>
    <col min="2" max="2" width="64.1640625" style="3" bestFit="1" customWidth="1"/>
    <col min="3" max="3" width="15.33203125" style="3" customWidth="1"/>
    <col min="4" max="4" width="12.6640625" style="3" bestFit="1" customWidth="1"/>
    <col min="5" max="5" width="14.33203125" style="3" customWidth="1"/>
    <col min="6" max="6" width="12.6640625" style="3" bestFit="1" customWidth="1"/>
    <col min="7" max="7" width="14" style="3" customWidth="1"/>
    <col min="8" max="8" width="15" style="3" bestFit="1" customWidth="1"/>
    <col min="9" max="16384" width="10.83203125" style="3"/>
  </cols>
  <sheetData>
    <row r="1" spans="1:9" customFormat="1" ht="17" thickBot="1" x14ac:dyDescent="0.25">
      <c r="A1" s="64"/>
      <c r="B1" s="65"/>
      <c r="C1" s="65"/>
      <c r="D1" s="65"/>
      <c r="E1" s="65"/>
      <c r="F1" s="65"/>
      <c r="G1" s="65"/>
      <c r="H1" s="65"/>
      <c r="I1" s="66"/>
    </row>
    <row r="2" spans="1:9" customFormat="1" x14ac:dyDescent="0.2">
      <c r="A2" s="71"/>
      <c r="B2" s="375" t="s">
        <v>484</v>
      </c>
      <c r="C2" s="376"/>
      <c r="D2" s="376"/>
      <c r="E2" s="376"/>
      <c r="F2" s="376"/>
      <c r="G2" s="376"/>
      <c r="H2" s="377"/>
      <c r="I2" s="72"/>
    </row>
    <row r="3" spans="1:9" customFormat="1" x14ac:dyDescent="0.2">
      <c r="A3" s="71"/>
      <c r="B3" s="378"/>
      <c r="C3" s="379"/>
      <c r="D3" s="379"/>
      <c r="E3" s="379"/>
      <c r="F3" s="379"/>
      <c r="G3" s="379"/>
      <c r="H3" s="380"/>
      <c r="I3" s="72"/>
    </row>
    <row r="4" spans="1:9" customFormat="1" ht="17" thickBot="1" x14ac:dyDescent="0.25">
      <c r="A4" s="71"/>
      <c r="B4" s="381"/>
      <c r="C4" s="382"/>
      <c r="D4" s="382"/>
      <c r="E4" s="382"/>
      <c r="F4" s="382"/>
      <c r="G4" s="382"/>
      <c r="H4" s="383"/>
      <c r="I4" s="72"/>
    </row>
    <row r="5" spans="1:9" customFormat="1" x14ac:dyDescent="0.2">
      <c r="A5" s="71"/>
      <c r="I5" s="72"/>
    </row>
    <row r="6" spans="1:9" customFormat="1" x14ac:dyDescent="0.2">
      <c r="A6" s="71"/>
      <c r="I6" s="72"/>
    </row>
    <row r="7" spans="1:9" ht="17" thickBot="1" x14ac:dyDescent="0.25">
      <c r="A7" s="214"/>
      <c r="I7" s="183"/>
    </row>
    <row r="8" spans="1:9" ht="17" thickBot="1" x14ac:dyDescent="0.25">
      <c r="A8" s="214"/>
      <c r="C8" s="160" t="s">
        <v>0</v>
      </c>
      <c r="D8" s="161" t="s">
        <v>1</v>
      </c>
      <c r="E8" s="161" t="s">
        <v>2</v>
      </c>
      <c r="F8" s="161" t="s">
        <v>3</v>
      </c>
      <c r="G8" s="161" t="s">
        <v>4</v>
      </c>
      <c r="H8" s="162" t="s">
        <v>5</v>
      </c>
      <c r="I8" s="183"/>
    </row>
    <row r="9" spans="1:9" ht="17" thickBot="1" x14ac:dyDescent="0.25">
      <c r="A9" s="214"/>
      <c r="B9" s="12" t="s">
        <v>20</v>
      </c>
      <c r="C9" s="158">
        <f>'Impact TVA'!G10-'Impact TVA'!G15</f>
        <v>46150000</v>
      </c>
      <c r="D9" s="158">
        <f>'Impact TVA'!J10-'Impact TVA'!J15</f>
        <v>250000</v>
      </c>
      <c r="E9" s="158">
        <f>'Impact TVA'!G22-'Impact TVA'!G27</f>
        <v>10250000</v>
      </c>
      <c r="F9" s="158">
        <f>'Impact TVA'!J22-'Impact TVA'!J27</f>
        <v>42250000</v>
      </c>
      <c r="G9" s="158">
        <f>'Impact TVA'!G34-'Impact TVA'!G39</f>
        <v>2307250000</v>
      </c>
      <c r="H9" s="159">
        <f>+SUM(C9:G9)</f>
        <v>2406150000</v>
      </c>
      <c r="I9" s="183"/>
    </row>
    <row r="10" spans="1:9" ht="17" thickBot="1" x14ac:dyDescent="0.25">
      <c r="A10" s="214"/>
      <c r="B10" s="390" t="s">
        <v>21</v>
      </c>
      <c r="C10" s="391"/>
      <c r="D10" s="391"/>
      <c r="E10" s="391"/>
      <c r="F10" s="391"/>
      <c r="G10" s="391"/>
      <c r="H10" s="392"/>
      <c r="I10" s="183"/>
    </row>
    <row r="11" spans="1:9" ht="17" thickBot="1" x14ac:dyDescent="0.25">
      <c r="A11" s="214"/>
      <c r="B11" s="393" t="s">
        <v>22</v>
      </c>
      <c r="C11" s="394"/>
      <c r="D11" s="394"/>
      <c r="E11" s="394"/>
      <c r="F11" s="394"/>
      <c r="G11" s="394"/>
      <c r="H11" s="395"/>
      <c r="I11" s="183"/>
    </row>
    <row r="12" spans="1:9" x14ac:dyDescent="0.2">
      <c r="A12" s="214"/>
      <c r="B12" s="3" t="s">
        <v>393</v>
      </c>
      <c r="C12" s="3">
        <f>'Impact TVA'!E110</f>
        <v>0</v>
      </c>
      <c r="D12" s="3">
        <f>'Impact TVA'!H110</f>
        <v>0</v>
      </c>
      <c r="E12" s="3">
        <f>'Impact TVA'!E116</f>
        <v>460000</v>
      </c>
      <c r="F12" s="3">
        <f>'Impact TVA'!H116</f>
        <v>500000</v>
      </c>
      <c r="G12" s="3">
        <f>'Impact TVA'!E122</f>
        <v>0</v>
      </c>
      <c r="H12" s="3">
        <f>SUM(C12:G12)</f>
        <v>960000</v>
      </c>
      <c r="I12" s="183"/>
    </row>
    <row r="13" spans="1:9" x14ac:dyDescent="0.2">
      <c r="A13" s="214"/>
      <c r="B13" s="3" t="s">
        <v>394</v>
      </c>
      <c r="C13" s="3">
        <f>'Impact TVA'!E111</f>
        <v>0</v>
      </c>
      <c r="D13" s="3">
        <f>'Impact TVA'!H111</f>
        <v>0</v>
      </c>
      <c r="E13" s="3">
        <f>'Impact TVA'!E117</f>
        <v>0</v>
      </c>
      <c r="F13" s="3">
        <f>'Impact TVA'!H117</f>
        <v>0</v>
      </c>
      <c r="G13" s="3">
        <f>'Impact TVA'!E123</f>
        <v>0</v>
      </c>
      <c r="H13" s="3">
        <f>SUM(C13:G13)</f>
        <v>0</v>
      </c>
      <c r="I13" s="183"/>
    </row>
    <row r="14" spans="1:9" ht="17" thickBot="1" x14ac:dyDescent="0.25">
      <c r="A14" s="214"/>
      <c r="B14" s="3" t="s">
        <v>395</v>
      </c>
      <c r="C14" s="215">
        <f>C12-C13</f>
        <v>0</v>
      </c>
      <c r="D14" s="215">
        <f t="shared" ref="D14:G14" si="0">D12-D13</f>
        <v>0</v>
      </c>
      <c r="E14" s="215">
        <f t="shared" si="0"/>
        <v>460000</v>
      </c>
      <c r="F14" s="215">
        <f t="shared" si="0"/>
        <v>500000</v>
      </c>
      <c r="G14" s="215">
        <f t="shared" si="0"/>
        <v>0</v>
      </c>
      <c r="H14" s="215">
        <f>SUM(C14:G14)</f>
        <v>960000</v>
      </c>
      <c r="I14" s="183"/>
    </row>
    <row r="15" spans="1:9" ht="17" thickBot="1" x14ac:dyDescent="0.25">
      <c r="A15" s="214"/>
      <c r="B15" s="393" t="s">
        <v>24</v>
      </c>
      <c r="C15" s="394"/>
      <c r="D15" s="394"/>
      <c r="E15" s="394"/>
      <c r="F15" s="394"/>
      <c r="G15" s="394"/>
      <c r="H15" s="395"/>
      <c r="I15" s="183"/>
    </row>
    <row r="16" spans="1:9" x14ac:dyDescent="0.2">
      <c r="A16" s="214"/>
      <c r="B16" s="3" t="s">
        <v>396</v>
      </c>
      <c r="C16" s="4">
        <f>'Impact TVA'!$E$62</f>
        <v>0.94000000000000006</v>
      </c>
      <c r="D16" s="4">
        <f>'Impact TVA'!$E$62</f>
        <v>0.94000000000000006</v>
      </c>
      <c r="E16" s="4">
        <f>'Impact TVA'!$E$62</f>
        <v>0.94000000000000006</v>
      </c>
      <c r="F16" s="4">
        <f>'Impact TVA'!$E$62</f>
        <v>0.94000000000000006</v>
      </c>
      <c r="G16" s="4">
        <f>'Impact TVA'!$E$62</f>
        <v>0.94000000000000006</v>
      </c>
      <c r="H16" s="4">
        <f>'Impact TVA'!$E$62</f>
        <v>0.94000000000000006</v>
      </c>
      <c r="I16" s="183"/>
    </row>
    <row r="17" spans="1:9" x14ac:dyDescent="0.2">
      <c r="A17" s="214"/>
      <c r="B17" s="3" t="s">
        <v>397</v>
      </c>
      <c r="C17" s="3">
        <f>'Impact TVA'!F110</f>
        <v>151999.99999999997</v>
      </c>
      <c r="D17" s="3">
        <f>'Impact TVA'!I110</f>
        <v>0</v>
      </c>
      <c r="E17" s="3">
        <f>'Impact TVA'!F116</f>
        <v>11840000</v>
      </c>
      <c r="F17" s="3">
        <f>'Impact TVA'!I116</f>
        <v>10000000</v>
      </c>
      <c r="G17" s="3">
        <f>'Impact TVA'!F122</f>
        <v>0</v>
      </c>
      <c r="H17" s="3">
        <f>SUM(C17:G17)</f>
        <v>21992000</v>
      </c>
      <c r="I17" s="183"/>
    </row>
    <row r="18" spans="1:9" x14ac:dyDescent="0.2">
      <c r="A18" s="214"/>
      <c r="B18" s="3" t="s">
        <v>398</v>
      </c>
      <c r="C18" s="3">
        <f>'Impact TVA'!F111</f>
        <v>73199.999999999927</v>
      </c>
      <c r="D18" s="3">
        <f>'Impact TVA'!I111</f>
        <v>59999.999999999942</v>
      </c>
      <c r="E18" s="3">
        <f>'Impact TVA'!F117</f>
        <v>10120000</v>
      </c>
      <c r="F18" s="3">
        <f>'Impact TVA'!I117</f>
        <v>10000000</v>
      </c>
      <c r="G18" s="3">
        <f>'Impact TVA'!F123</f>
        <v>0</v>
      </c>
      <c r="H18" s="3">
        <f>SUM(C18:G18)</f>
        <v>20253200</v>
      </c>
      <c r="I18" s="183"/>
    </row>
    <row r="19" spans="1:9" x14ac:dyDescent="0.2">
      <c r="A19" s="214"/>
      <c r="B19" s="3" t="s">
        <v>399</v>
      </c>
      <c r="C19" s="215">
        <f>C17-C18</f>
        <v>78800.000000000044</v>
      </c>
      <c r="D19" s="215">
        <f t="shared" ref="D19:G19" si="1">D17-D18</f>
        <v>-59999.999999999942</v>
      </c>
      <c r="E19" s="215">
        <f t="shared" si="1"/>
        <v>1720000</v>
      </c>
      <c r="F19" s="215">
        <f t="shared" si="1"/>
        <v>0</v>
      </c>
      <c r="G19" s="215">
        <f t="shared" si="1"/>
        <v>0</v>
      </c>
      <c r="H19" s="215">
        <f t="shared" ref="H19" si="2">H18-H17</f>
        <v>-1738800</v>
      </c>
      <c r="I19" s="183"/>
    </row>
    <row r="20" spans="1:9" s="11" customFormat="1" ht="17" thickBot="1" x14ac:dyDescent="0.25">
      <c r="A20" s="216"/>
      <c r="B20" s="11" t="s">
        <v>400</v>
      </c>
      <c r="C20" s="217">
        <f>C13+C14+C19</f>
        <v>78800.000000000044</v>
      </c>
      <c r="D20" s="217">
        <f>D13+D14+D19</f>
        <v>-59999.999999999942</v>
      </c>
      <c r="E20" s="217">
        <f>E13+E14+E19</f>
        <v>2180000</v>
      </c>
      <c r="F20" s="217">
        <f>F13+F14+F19</f>
        <v>500000</v>
      </c>
      <c r="G20" s="217">
        <f>G13+G14+G19</f>
        <v>0</v>
      </c>
      <c r="H20" s="217">
        <f>SUM(C20:G20)</f>
        <v>2698800</v>
      </c>
      <c r="I20" s="20"/>
    </row>
    <row r="21" spans="1:9" ht="17" thickBot="1" x14ac:dyDescent="0.25">
      <c r="A21" s="214"/>
      <c r="B21" s="390" t="s">
        <v>524</v>
      </c>
      <c r="C21" s="391"/>
      <c r="D21" s="391"/>
      <c r="E21" s="391"/>
      <c r="F21" s="391"/>
      <c r="G21" s="391"/>
      <c r="H21" s="392"/>
      <c r="I21" s="183"/>
    </row>
    <row r="22" spans="1:9" x14ac:dyDescent="0.2">
      <c r="A22" s="214"/>
      <c r="B22" s="3" t="s">
        <v>25</v>
      </c>
      <c r="C22" s="3">
        <f>'Impact TS'!C175</f>
        <v>303975</v>
      </c>
      <c r="D22" s="3">
        <f>'Impact TS'!D175</f>
        <v>0</v>
      </c>
      <c r="E22" s="3">
        <f>'Impact TS'!E175</f>
        <v>178995</v>
      </c>
      <c r="F22" s="3">
        <f>'Impact TS'!F175</f>
        <v>194560</v>
      </c>
      <c r="G22" s="3">
        <f>'Impact TS'!G175</f>
        <v>0</v>
      </c>
      <c r="H22" s="3">
        <f>SUM(C22:G22)</f>
        <v>677530</v>
      </c>
      <c r="I22" s="183"/>
    </row>
    <row r="23" spans="1:9" x14ac:dyDescent="0.2">
      <c r="A23" s="214"/>
      <c r="B23" s="3" t="s">
        <v>26</v>
      </c>
      <c r="C23" s="3">
        <f>'Impact TS'!C192</f>
        <v>316641</v>
      </c>
      <c r="D23" s="3">
        <f>'Impact TS'!D192</f>
        <v>0</v>
      </c>
      <c r="E23" s="3">
        <f>'Impact TS'!E192</f>
        <v>178995</v>
      </c>
      <c r="F23" s="3">
        <f>'Impact TS'!F192</f>
        <v>194560</v>
      </c>
      <c r="G23" s="3">
        <f>'Impact TS'!G192</f>
        <v>0</v>
      </c>
      <c r="H23" s="3">
        <f>SUM(C23:G23)</f>
        <v>690196</v>
      </c>
      <c r="I23" s="183"/>
    </row>
    <row r="24" spans="1:9" ht="17" thickBot="1" x14ac:dyDescent="0.25">
      <c r="A24" s="214"/>
      <c r="B24" s="11" t="s">
        <v>401</v>
      </c>
      <c r="C24" s="11">
        <f>C22-C23</f>
        <v>-12666</v>
      </c>
      <c r="D24" s="11">
        <f t="shared" ref="D24:G24" si="3">D22-D23</f>
        <v>0</v>
      </c>
      <c r="E24" s="11">
        <f t="shared" si="3"/>
        <v>0</v>
      </c>
      <c r="F24" s="11">
        <f t="shared" si="3"/>
        <v>0</v>
      </c>
      <c r="G24" s="11">
        <f t="shared" si="3"/>
        <v>0</v>
      </c>
      <c r="H24" s="11">
        <f>SUM(C24:G24)</f>
        <v>-12666</v>
      </c>
      <c r="I24" s="183"/>
    </row>
    <row r="25" spans="1:9" ht="17" thickBot="1" x14ac:dyDescent="0.25">
      <c r="A25" s="214"/>
      <c r="B25" s="390" t="s">
        <v>525</v>
      </c>
      <c r="C25" s="391"/>
      <c r="D25" s="391"/>
      <c r="E25" s="391"/>
      <c r="F25" s="391"/>
      <c r="G25" s="391"/>
      <c r="H25" s="392"/>
      <c r="I25" s="183"/>
    </row>
    <row r="26" spans="1:9" x14ac:dyDescent="0.2">
      <c r="A26" s="214"/>
      <c r="B26" s="3" t="s">
        <v>27</v>
      </c>
      <c r="C26" s="218">
        <v>-45000</v>
      </c>
      <c r="D26" s="218"/>
      <c r="E26" s="218"/>
      <c r="F26" s="218"/>
      <c r="G26" s="218"/>
      <c r="H26" s="3">
        <f>SUM(C26:G26)</f>
        <v>-45000</v>
      </c>
      <c r="I26" s="183"/>
    </row>
    <row r="27" spans="1:9" x14ac:dyDescent="0.2">
      <c r="A27" s="214"/>
      <c r="B27" s="3" t="s">
        <v>28</v>
      </c>
      <c r="C27" s="218">
        <v>-1500</v>
      </c>
      <c r="D27" s="218">
        <v>-1500</v>
      </c>
      <c r="E27" s="218">
        <v>-1500</v>
      </c>
      <c r="F27" s="218">
        <v>-1500</v>
      </c>
      <c r="G27" s="218">
        <v>-1500</v>
      </c>
      <c r="H27" s="3">
        <f>SUM(C27:G27)</f>
        <v>-7500</v>
      </c>
      <c r="I27" s="183"/>
    </row>
    <row r="28" spans="1:9" ht="17" thickBot="1" x14ac:dyDescent="0.25">
      <c r="A28" s="214"/>
      <c r="B28" s="3" t="s">
        <v>29</v>
      </c>
      <c r="C28" s="218"/>
      <c r="D28" s="218"/>
      <c r="E28" s="218"/>
      <c r="F28" s="218"/>
      <c r="G28" s="218"/>
      <c r="H28" s="3">
        <f>SUM(C28:G28)</f>
        <v>0</v>
      </c>
      <c r="I28" s="183"/>
    </row>
    <row r="29" spans="1:9" ht="17" thickBot="1" x14ac:dyDescent="0.25">
      <c r="A29" s="214"/>
      <c r="B29" s="390" t="s">
        <v>30</v>
      </c>
      <c r="C29" s="391"/>
      <c r="D29" s="391"/>
      <c r="E29" s="391"/>
      <c r="F29" s="391"/>
      <c r="G29" s="391"/>
      <c r="H29" s="392"/>
      <c r="I29" s="183"/>
    </row>
    <row r="30" spans="1:9" x14ac:dyDescent="0.2">
      <c r="A30" s="214"/>
      <c r="B30" s="3" t="s">
        <v>31</v>
      </c>
      <c r="C30" s="3">
        <f>(C20+C24+C26+C27+C28)*0.25</f>
        <v>4908.5000000000109</v>
      </c>
      <c r="D30" s="3">
        <f t="shared" ref="D30:G30" si="4">(D20+D24+D26+D27+D28)*0.25</f>
        <v>-15374.999999999985</v>
      </c>
      <c r="E30" s="3">
        <f t="shared" si="4"/>
        <v>544625</v>
      </c>
      <c r="F30" s="3">
        <f t="shared" si="4"/>
        <v>124625</v>
      </c>
      <c r="G30" s="3">
        <f t="shared" si="4"/>
        <v>-375</v>
      </c>
      <c r="H30" s="3">
        <f>SUM(C30:G30)</f>
        <v>658408.5</v>
      </c>
      <c r="I30" s="183"/>
    </row>
    <row r="31" spans="1:9" x14ac:dyDescent="0.2">
      <c r="A31" s="214"/>
      <c r="B31" s="3" t="s">
        <v>402</v>
      </c>
      <c r="C31" s="219"/>
      <c r="D31" s="219"/>
      <c r="E31" s="219"/>
      <c r="F31" s="219"/>
      <c r="G31" s="219"/>
      <c r="H31" s="219">
        <f>SUM(C31:G31)</f>
        <v>0</v>
      </c>
      <c r="I31" s="183"/>
    </row>
    <row r="32" spans="1:9" ht="17" thickBot="1" x14ac:dyDescent="0.25">
      <c r="A32" s="214"/>
      <c r="B32" s="3" t="s">
        <v>32</v>
      </c>
      <c r="C32" s="3">
        <f>C9+C20+C24+C26+C27+C28+C30</f>
        <v>46174542.5</v>
      </c>
      <c r="D32" s="3">
        <f>D9+D20+D24+D26+D27+D28+D30</f>
        <v>173125.00000000006</v>
      </c>
      <c r="E32" s="3">
        <f>E9+E20+E24+E26+E27+E28+E30</f>
        <v>12973125</v>
      </c>
      <c r="F32" s="3">
        <f>F9+F20+F24+F26+F27+F28+F30</f>
        <v>42873125</v>
      </c>
      <c r="G32" s="3">
        <f>G9+G20+G24+G26+G27+G28+G30</f>
        <v>2307248125</v>
      </c>
      <c r="H32" s="3">
        <f>SUM(C32:G32)</f>
        <v>2409442042.5</v>
      </c>
      <c r="I32" s="183"/>
    </row>
    <row r="33" spans="1:9" ht="17" thickBot="1" x14ac:dyDescent="0.25">
      <c r="A33" s="214"/>
      <c r="B33" s="163" t="s">
        <v>33</v>
      </c>
      <c r="C33" s="164">
        <f>C32-C9</f>
        <v>24542.5</v>
      </c>
      <c r="D33" s="164">
        <f>D32-D9</f>
        <v>-76874.999999999942</v>
      </c>
      <c r="E33" s="164">
        <f>E32-E9</f>
        <v>2723125</v>
      </c>
      <c r="F33" s="164">
        <f>F32-F9</f>
        <v>623125</v>
      </c>
      <c r="G33" s="164">
        <f>G32-G9</f>
        <v>-1875</v>
      </c>
      <c r="H33" s="13">
        <f>SUM(H30:H32)</f>
        <v>2410100451</v>
      </c>
      <c r="I33" s="183"/>
    </row>
    <row r="34" spans="1:9" ht="35" customHeight="1" x14ac:dyDescent="0.2">
      <c r="A34" s="214"/>
      <c r="B34" s="389" t="s">
        <v>526</v>
      </c>
      <c r="C34" s="389"/>
      <c r="D34" s="389"/>
      <c r="E34" s="389"/>
      <c r="F34" s="389"/>
      <c r="G34" s="389"/>
      <c r="H34" s="389"/>
      <c r="I34" s="183"/>
    </row>
    <row r="35" spans="1:9" x14ac:dyDescent="0.2">
      <c r="A35" s="214"/>
      <c r="B35" s="11"/>
      <c r="C35" s="11"/>
      <c r="D35" s="11"/>
      <c r="E35" s="11"/>
      <c r="F35" s="11"/>
      <c r="G35" s="11"/>
      <c r="H35" s="11"/>
      <c r="I35" s="183"/>
    </row>
    <row r="36" spans="1:9" ht="17" thickBot="1" x14ac:dyDescent="0.25">
      <c r="A36" s="220"/>
      <c r="B36" s="221"/>
      <c r="C36" s="221"/>
      <c r="D36" s="221"/>
      <c r="E36" s="221"/>
      <c r="F36" s="221"/>
      <c r="G36" s="221"/>
      <c r="H36" s="221"/>
      <c r="I36" s="222"/>
    </row>
  </sheetData>
  <mergeCells count="8">
    <mergeCell ref="B34:H34"/>
    <mergeCell ref="B2:H4"/>
    <mergeCell ref="B10:H10"/>
    <mergeCell ref="B21:H21"/>
    <mergeCell ref="B25:H25"/>
    <mergeCell ref="B29:H29"/>
    <mergeCell ref="B11:H11"/>
    <mergeCell ref="B15:H15"/>
  </mergeCells>
  <conditionalFormatting sqref="C33:H33 C35:H35">
    <cfRule type="iconSet" priority="1">
      <iconSet iconSet="3Arrows">
        <cfvo type="percent" val="0"/>
        <cfvo type="num" val="0"/>
        <cfvo type="num" val="0" gte="0"/>
      </iconSet>
    </cfRule>
  </conditionalFormatting>
  <pageMargins left="0.7" right="0.7" top="0.75" bottom="0.75" header="0.3" footer="0.3"/>
  <pageSetup paperSize="9" scale="48" orientation="landscape" horizontalDpi="0" verticalDpi="0"/>
  <headerFooter scaleWithDoc="0">
    <oddHeader>&amp;L&amp;"Calibri,Normal"&amp;K000000&amp;F&amp;C&amp;"Calibri,Normal"&amp;K000000                                                   &amp;A&amp;R&amp;"Calibri,Normal"&amp;K000000&amp;P sur &amp;N</oddHead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10</vt:i4>
      </vt:variant>
      <vt:variant>
        <vt:lpstr>Plages nommées</vt:lpstr>
      </vt:variant>
      <vt:variant>
        <vt:i4>9</vt:i4>
      </vt:variant>
    </vt:vector>
  </HeadingPairs>
  <TitlesOfParts>
    <vt:vector size="19" baseType="lpstr">
      <vt:lpstr>Méthodologie</vt:lpstr>
      <vt:lpstr>Documents à récupérer</vt:lpstr>
      <vt:lpstr>fiche groupe</vt:lpstr>
      <vt:lpstr>Infos entités</vt:lpstr>
      <vt:lpstr>Infos gestion groupe</vt:lpstr>
      <vt:lpstr>Liens entre entités</vt:lpstr>
      <vt:lpstr>Impact TVA</vt:lpstr>
      <vt:lpstr>Impact TS</vt:lpstr>
      <vt:lpstr>Impact Global</vt:lpstr>
      <vt:lpstr>Base</vt:lpstr>
      <vt:lpstr>'Documents à récupérer'!Zone_d_impression</vt:lpstr>
      <vt:lpstr>'fiche groupe'!Zone_d_impression</vt:lpstr>
      <vt:lpstr>'Impact Global'!Zone_d_impression</vt:lpstr>
      <vt:lpstr>'Impact TS'!Zone_d_impression</vt:lpstr>
      <vt:lpstr>'Impact TVA'!Zone_d_impression</vt:lpstr>
      <vt:lpstr>'Infos entités'!Zone_d_impression</vt:lpstr>
      <vt:lpstr>'Infos gestion groupe'!Zone_d_impression</vt:lpstr>
      <vt:lpstr>'Liens entre entités'!Zone_d_impression</vt:lpstr>
      <vt:lpstr>Méthodologie!Zone_d_impression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MERYEM ZERGUIT</dc:creator>
  <cp:lastModifiedBy>MERYEM ZERGUIT</cp:lastModifiedBy>
  <cp:lastPrinted>2025-09-05T23:49:04Z</cp:lastPrinted>
  <dcterms:created xsi:type="dcterms:W3CDTF">2025-05-27T09:50:49Z</dcterms:created>
  <dcterms:modified xsi:type="dcterms:W3CDTF">2025-09-07T17:07:24Z</dcterms:modified>
</cp:coreProperties>
</file>